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M:\012 Pôle Technique et Environnement\04 Environnement\SERVICE_ASS_COLLECTIF_AEP\12 Gestion clientèle et facturation\F_Facturation\O_Estimation facture\"/>
    </mc:Choice>
  </mc:AlternateContent>
  <xr:revisionPtr revIDLastSave="0" documentId="13_ncr:1_{4DFEF413-AC57-4629-A75C-FA8A2C2E2A2B}" xr6:coauthVersionLast="47" xr6:coauthVersionMax="47" xr10:uidLastSave="{00000000-0000-0000-0000-000000000000}"/>
  <workbookProtection workbookAlgorithmName="SHA-512" workbookHashValue="PY1Ey1hJwDsB/DLPzuNtFJT8re8JjtfqfIj26B3vXgQm4d6rTIuxZl/AWfFbGVPeLt6SnYq37t4PXFnaFur0lg==" workbookSaltValue="m6udwNsnKxtcRAubYZiPUQ==" workbookSpinCount="100000" lockStructure="1"/>
  <bookViews>
    <workbookView xWindow="-28920" yWindow="-105" windowWidth="29040" windowHeight="15840" firstSheet="1" activeTab="1" xr2:uid="{4BE0E7F0-7A71-4E40-AC3C-BEBF3C644F16}"/>
  </bookViews>
  <sheets>
    <sheet name="AGRI" sheetId="1" state="hidden" r:id="rId1"/>
    <sheet name="IND" sheetId="8" r:id="rId2"/>
    <sheet name="Tarif EAU" sheetId="3" state="hidden" r:id="rId3"/>
    <sheet name="Tarif AST" sheetId="4" state="hidden" r:id="rId4"/>
    <sheet name="Tarif pr impression" sheetId="11" state="hidden" r:id="rId5"/>
  </sheets>
  <definedNames>
    <definedName name="_xlnm._FilterDatabase" localSheetId="3" hidden="1">'Tarif AST'!$A$1:$E$42</definedName>
    <definedName name="_xlnm._FilterDatabase" localSheetId="2" hidden="1">'Tarif EAU'!$A$1:$F$42</definedName>
    <definedName name="_xlnm._FilterDatabase" localSheetId="4" hidden="1">'Tarif pr impression'!$A$1:$O$42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1" l="1"/>
  <c r="C48" i="11"/>
  <c r="C46" i="11"/>
  <c r="C45" i="11"/>
  <c r="O3" i="11"/>
  <c r="O4" i="11"/>
  <c r="O6" i="11"/>
  <c r="O7" i="11"/>
  <c r="O8" i="11"/>
  <c r="O10" i="11"/>
  <c r="O11" i="11"/>
  <c r="O12" i="11"/>
  <c r="O13" i="11"/>
  <c r="O14" i="11"/>
  <c r="O15" i="11"/>
  <c r="O16" i="11"/>
  <c r="O17" i="11"/>
  <c r="O19" i="11"/>
  <c r="O20" i="11"/>
  <c r="O21" i="11"/>
  <c r="O22" i="11"/>
  <c r="O23" i="11"/>
  <c r="O24" i="11"/>
  <c r="O25" i="11"/>
  <c r="O26" i="11"/>
  <c r="O27" i="11"/>
  <c r="O28" i="11"/>
  <c r="O29" i="11"/>
  <c r="O30" i="11"/>
  <c r="O31" i="11"/>
  <c r="O32" i="11"/>
  <c r="O33" i="11"/>
  <c r="O34" i="11"/>
  <c r="O35" i="11"/>
  <c r="O36" i="11"/>
  <c r="O37" i="11"/>
  <c r="O38" i="11"/>
  <c r="O39" i="11"/>
  <c r="O40" i="11"/>
  <c r="O41" i="11"/>
  <c r="O42" i="11"/>
  <c r="O2" i="11"/>
  <c r="M3" i="11"/>
  <c r="M4" i="11"/>
  <c r="M6" i="11"/>
  <c r="M7" i="11"/>
  <c r="M8" i="11"/>
  <c r="M10" i="11"/>
  <c r="M11" i="11"/>
  <c r="M12" i="11"/>
  <c r="M13" i="11"/>
  <c r="M14" i="11"/>
  <c r="M15" i="11"/>
  <c r="M16" i="11"/>
  <c r="M17" i="11"/>
  <c r="M19" i="11"/>
  <c r="M20" i="11"/>
  <c r="M21" i="11"/>
  <c r="M22" i="11"/>
  <c r="M23" i="11"/>
  <c r="M24" i="11"/>
  <c r="M25" i="11"/>
  <c r="M26" i="11"/>
  <c r="M27" i="11"/>
  <c r="M28" i="11"/>
  <c r="M29" i="11"/>
  <c r="M30" i="11"/>
  <c r="M31" i="11"/>
  <c r="M32" i="11"/>
  <c r="M33" i="11"/>
  <c r="M34" i="11"/>
  <c r="M35" i="11"/>
  <c r="M36" i="11"/>
  <c r="M37" i="11"/>
  <c r="M38" i="11"/>
  <c r="M39" i="11"/>
  <c r="M40" i="11"/>
  <c r="M41" i="11"/>
  <c r="M42" i="11"/>
  <c r="M2" i="11"/>
  <c r="J3" i="11"/>
  <c r="J4" i="11"/>
  <c r="J5"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2" i="11"/>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2" i="11"/>
  <c r="H3" i="3" l="1"/>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2" i="3"/>
  <c r="B28" i="8"/>
  <c r="B47" i="8" s="1"/>
  <c r="B29" i="8"/>
  <c r="B48" i="8" s="1"/>
  <c r="B30" i="8"/>
  <c r="B49" i="8" s="1"/>
  <c r="B31" i="8"/>
  <c r="B50" i="8" s="1"/>
  <c r="I14" i="8"/>
  <c r="I14" i="1"/>
  <c r="H19" i="1" l="1"/>
  <c r="D50" i="8"/>
  <c r="H47" i="8"/>
  <c r="H28" i="8"/>
  <c r="E47" i="8"/>
  <c r="D47" i="8"/>
  <c r="E28" i="8"/>
  <c r="D28" i="8"/>
  <c r="H43" i="8"/>
  <c r="H44" i="8"/>
  <c r="D39" i="8"/>
  <c r="D43" i="8"/>
  <c r="H49" i="8"/>
  <c r="D21" i="8"/>
  <c r="D24" i="8"/>
  <c r="H30" i="8"/>
  <c r="H24" i="8"/>
  <c r="D31" i="8"/>
  <c r="D25" i="8"/>
  <c r="E21" i="8"/>
  <c r="D29" i="8"/>
  <c r="H25" i="8"/>
  <c r="H29" i="8"/>
  <c r="E29" i="8"/>
  <c r="H31" i="8"/>
  <c r="E24" i="8"/>
  <c r="E25" i="8"/>
  <c r="E31" i="8"/>
  <c r="H20" i="8"/>
  <c r="D19" i="8"/>
  <c r="D20" i="8"/>
  <c r="E19" i="8"/>
  <c r="E20" i="8"/>
  <c r="D48" i="8"/>
  <c r="E39" i="8"/>
  <c r="E48" i="8"/>
  <c r="H19" i="8"/>
  <c r="I8" i="8"/>
  <c r="H40" i="8"/>
  <c r="H50" i="8"/>
  <c r="H21" i="8"/>
  <c r="E44" i="8"/>
  <c r="E40" i="8"/>
  <c r="E50" i="8"/>
  <c r="D44" i="8"/>
  <c r="H39" i="8"/>
  <c r="H48" i="8"/>
  <c r="E43" i="8"/>
  <c r="D40" i="8"/>
  <c r="E47" i="1"/>
  <c r="D47" i="1"/>
  <c r="D28" i="1"/>
  <c r="H28" i="1"/>
  <c r="E28" i="1"/>
  <c r="H47" i="1"/>
  <c r="G11" i="1"/>
  <c r="B29" i="1"/>
  <c r="B48" i="1" s="1"/>
  <c r="B30" i="1"/>
  <c r="B49" i="1" s="1"/>
  <c r="B31" i="1"/>
  <c r="B50" i="1" s="1"/>
  <c r="B28" i="1"/>
  <c r="B47" i="1" s="1"/>
  <c r="F3" i="3"/>
  <c r="F4" i="3"/>
  <c r="F5" i="3"/>
  <c r="F6" i="3"/>
  <c r="F7" i="3"/>
  <c r="F8" i="3"/>
  <c r="F9" i="3"/>
  <c r="F10" i="3"/>
  <c r="F11" i="3"/>
  <c r="F12" i="3"/>
  <c r="F13" i="3"/>
  <c r="F14" i="3"/>
  <c r="F15" i="3"/>
  <c r="F16" i="3"/>
  <c r="F17" i="3"/>
  <c r="F18" i="3"/>
  <c r="F19" i="3"/>
  <c r="F20" i="3"/>
  <c r="F21" i="3"/>
  <c r="F22" i="3"/>
  <c r="F24" i="3"/>
  <c r="F23" i="3"/>
  <c r="F25" i="3"/>
  <c r="F26" i="3"/>
  <c r="F27" i="3"/>
  <c r="F28" i="3"/>
  <c r="F29" i="3"/>
  <c r="F30" i="3"/>
  <c r="F31" i="3"/>
  <c r="F32" i="3"/>
  <c r="F33" i="3"/>
  <c r="F34" i="3"/>
  <c r="F35" i="3"/>
  <c r="F36" i="3"/>
  <c r="F37" i="3"/>
  <c r="F38" i="3"/>
  <c r="F39" i="3"/>
  <c r="F40" i="3"/>
  <c r="F41" i="3"/>
  <c r="F42" i="3"/>
  <c r="F2" i="3"/>
  <c r="F50" i="8" l="1"/>
  <c r="G50" i="8" s="1"/>
  <c r="F44" i="8"/>
  <c r="I44" i="8" s="1"/>
  <c r="F24" i="8"/>
  <c r="I24" i="8" s="1"/>
  <c r="F28" i="8"/>
  <c r="I28" i="8" s="1"/>
  <c r="F28" i="1"/>
  <c r="G28" i="1" s="1"/>
  <c r="F47" i="8"/>
  <c r="I47" i="8" s="1"/>
  <c r="F29" i="8"/>
  <c r="I29" i="8" s="1"/>
  <c r="F43" i="8"/>
  <c r="G43" i="8" s="1"/>
  <c r="D49" i="8"/>
  <c r="E30" i="8"/>
  <c r="E49" i="8"/>
  <c r="F47" i="1"/>
  <c r="G47" i="1" s="1"/>
  <c r="D30" i="8"/>
  <c r="F25" i="8"/>
  <c r="G25" i="8" s="1"/>
  <c r="F31" i="8"/>
  <c r="G31" i="8" s="1"/>
  <c r="F21" i="8"/>
  <c r="I21" i="8" s="1"/>
  <c r="F20" i="8"/>
  <c r="I20" i="8" s="1"/>
  <c r="F48" i="8"/>
  <c r="I48" i="8" s="1"/>
  <c r="F19" i="8"/>
  <c r="G19" i="8" s="1"/>
  <c r="F39" i="8"/>
  <c r="I39" i="8" s="1"/>
  <c r="F40" i="8"/>
  <c r="I40" i="8" s="1"/>
  <c r="E43" i="1"/>
  <c r="D43" i="1"/>
  <c r="E40" i="1"/>
  <c r="E39" i="1"/>
  <c r="E44" i="1"/>
  <c r="D39" i="1"/>
  <c r="D50" i="1"/>
  <c r="E48" i="1"/>
  <c r="H49" i="1"/>
  <c r="D44" i="1"/>
  <c r="H43" i="1"/>
  <c r="H48" i="1"/>
  <c r="D48" i="1"/>
  <c r="H39" i="1"/>
  <c r="H40" i="1"/>
  <c r="E50" i="1"/>
  <c r="H50" i="1"/>
  <c r="H44" i="1"/>
  <c r="D40" i="1"/>
  <c r="D25" i="1"/>
  <c r="H30" i="1"/>
  <c r="H31" i="1"/>
  <c r="E29" i="1"/>
  <c r="H29" i="1"/>
  <c r="E31" i="1"/>
  <c r="D21" i="1"/>
  <c r="D31" i="1"/>
  <c r="D29" i="1"/>
  <c r="E25" i="1"/>
  <c r="H25" i="1"/>
  <c r="E24" i="1"/>
  <c r="H24" i="1"/>
  <c r="D24" i="1"/>
  <c r="E21" i="1"/>
  <c r="F21" i="1" s="1"/>
  <c r="E19" i="1"/>
  <c r="H21" i="1"/>
  <c r="E20" i="1"/>
  <c r="H20" i="1"/>
  <c r="D19" i="1"/>
  <c r="D20" i="1"/>
  <c r="G28" i="8" l="1"/>
  <c r="I50" i="8"/>
  <c r="G24" i="8"/>
  <c r="G44" i="8"/>
  <c r="G29" i="8"/>
  <c r="I43" i="8"/>
  <c r="F49" i="8"/>
  <c r="F52" i="8" s="1"/>
  <c r="I28" i="1"/>
  <c r="F24" i="1"/>
  <c r="I24" i="1" s="1"/>
  <c r="I47" i="1"/>
  <c r="G47" i="8"/>
  <c r="I31" i="8"/>
  <c r="F43" i="1"/>
  <c r="G43" i="1" s="1"/>
  <c r="F30" i="8"/>
  <c r="F33" i="8" s="1"/>
  <c r="I30" i="8"/>
  <c r="I25" i="8"/>
  <c r="G21" i="8"/>
  <c r="F25" i="1"/>
  <c r="G25" i="1" s="1"/>
  <c r="D49" i="1"/>
  <c r="E49" i="1"/>
  <c r="F44" i="1"/>
  <c r="G44" i="1" s="1"/>
  <c r="E30" i="1"/>
  <c r="D30" i="1"/>
  <c r="G39" i="8"/>
  <c r="G20" i="8"/>
  <c r="I19" i="8"/>
  <c r="G48" i="8"/>
  <c r="G40" i="8"/>
  <c r="I21" i="1"/>
  <c r="F39" i="1"/>
  <c r="G39" i="1" s="1"/>
  <c r="F50" i="1"/>
  <c r="I50" i="1" s="1"/>
  <c r="F48" i="1"/>
  <c r="F19" i="1"/>
  <c r="G19" i="1" s="1"/>
  <c r="F31" i="1"/>
  <c r="I31" i="1" s="1"/>
  <c r="F29" i="1"/>
  <c r="F20" i="1"/>
  <c r="I20" i="1" s="1"/>
  <c r="G21" i="1"/>
  <c r="G30" i="8" l="1"/>
  <c r="G33" i="8" s="1"/>
  <c r="G49" i="8"/>
  <c r="G52" i="8" s="1"/>
  <c r="I49" i="8"/>
  <c r="I52" i="8" s="1"/>
  <c r="G24" i="1"/>
  <c r="I43" i="1"/>
  <c r="F30" i="1"/>
  <c r="G30" i="1" s="1"/>
  <c r="I25" i="1"/>
  <c r="I33" i="8"/>
  <c r="F49" i="1"/>
  <c r="I49" i="1" s="1"/>
  <c r="I44" i="1"/>
  <c r="I19" i="1"/>
  <c r="G31" i="1"/>
  <c r="G50" i="1"/>
  <c r="G48" i="1"/>
  <c r="I48" i="1"/>
  <c r="G20" i="1"/>
  <c r="G29" i="1"/>
  <c r="I29" i="1"/>
  <c r="B62" i="8" l="1"/>
  <c r="B63" i="8"/>
  <c r="E63" i="8"/>
  <c r="F33" i="1"/>
  <c r="I30" i="1"/>
  <c r="I33" i="1" s="1"/>
  <c r="G49" i="1"/>
  <c r="F40" i="1"/>
  <c r="I39" i="1"/>
  <c r="G33" i="1"/>
  <c r="F52" i="1" l="1"/>
  <c r="I40" i="1"/>
  <c r="G40" i="1"/>
  <c r="G52" i="1" l="1"/>
  <c r="I52" i="1"/>
  <c r="B62" i="1" l="1"/>
  <c r="E63" i="1"/>
  <c r="B63" i="1"/>
</calcChain>
</file>

<file path=xl/sharedStrings.xml><?xml version="1.0" encoding="utf-8"?>
<sst xmlns="http://schemas.openxmlformats.org/spreadsheetml/2006/main" count="320" uniqueCount="156">
  <si>
    <t>Votre contact :</t>
  </si>
  <si>
    <t>68 rue Antoine Lavoisier</t>
  </si>
  <si>
    <t>01300 BELLEY</t>
  </si>
  <si>
    <t>04 28 38 44 81</t>
  </si>
  <si>
    <t>regiedeseaux@ccbugeysud.com</t>
  </si>
  <si>
    <t>Régie des eaux Bugey-Sud</t>
  </si>
  <si>
    <t>La Pélissière</t>
  </si>
  <si>
    <t>Détail de votre estimation :</t>
  </si>
  <si>
    <t>Quantité</t>
  </si>
  <si>
    <t>Prix unitaire</t>
  </si>
  <si>
    <t>Montant HT</t>
  </si>
  <si>
    <t>TVA</t>
  </si>
  <si>
    <t>Taux de TVA</t>
  </si>
  <si>
    <t>Montant TTC</t>
  </si>
  <si>
    <t>Distribution de l'eau</t>
  </si>
  <si>
    <r>
      <t>Consommation eau (m</t>
    </r>
    <r>
      <rPr>
        <sz val="9"/>
        <color theme="1"/>
        <rFont val="Calibri"/>
        <family val="2"/>
      </rPr>
      <t>³</t>
    </r>
    <r>
      <rPr>
        <sz val="9"/>
        <color theme="1"/>
        <rFont val="Trebuchet MS"/>
        <family val="2"/>
      </rPr>
      <t>)</t>
    </r>
  </si>
  <si>
    <t>Collecte des eaux usées</t>
  </si>
  <si>
    <r>
      <t>Consommation assainissement (m</t>
    </r>
    <r>
      <rPr>
        <sz val="9"/>
        <color theme="1"/>
        <rFont val="Calibri"/>
        <family val="2"/>
      </rPr>
      <t>³</t>
    </r>
    <r>
      <rPr>
        <sz val="9"/>
        <color theme="1"/>
        <rFont val="Trebuchet MS"/>
        <family val="2"/>
      </rPr>
      <t>)</t>
    </r>
  </si>
  <si>
    <t>TOTAL</t>
  </si>
  <si>
    <t>Commune du lieu désservi :</t>
  </si>
  <si>
    <t>Avec assainissement :</t>
  </si>
  <si>
    <t>pour l'année 2025</t>
  </si>
  <si>
    <t>Abonnement annuel eau</t>
  </si>
  <si>
    <t>Abonnement annuel assainissement</t>
  </si>
  <si>
    <t>Communes</t>
  </si>
  <si>
    <t>Groupe</t>
  </si>
  <si>
    <t>Ambleon</t>
  </si>
  <si>
    <r>
      <t>Arviere en Valromey -</t>
    </r>
    <r>
      <rPr>
        <sz val="10"/>
        <color theme="1"/>
        <rFont val="Trebuchet MS"/>
        <family val="2"/>
      </rPr>
      <t xml:space="preserve"> Brenaz</t>
    </r>
  </si>
  <si>
    <r>
      <t xml:space="preserve">Arvière en Valromey </t>
    </r>
    <r>
      <rPr>
        <b/>
        <i/>
        <sz val="11"/>
        <color theme="1"/>
        <rFont val="Trebuchet MS"/>
        <family val="2"/>
      </rPr>
      <t xml:space="preserve">- </t>
    </r>
    <r>
      <rPr>
        <i/>
        <sz val="10"/>
        <color theme="1"/>
        <rFont val="Trebuchet MS"/>
        <family val="2"/>
      </rPr>
      <t>Virieu le Petit</t>
    </r>
  </si>
  <si>
    <t>Belley</t>
  </si>
  <si>
    <t>Ceyzerieu</t>
  </si>
  <si>
    <t>Colomieu</t>
  </si>
  <si>
    <t>Izieu</t>
  </si>
  <si>
    <t>Premeyzel</t>
  </si>
  <si>
    <t>Virieu le Grand</t>
  </si>
  <si>
    <t>Arboys en Bugey</t>
  </si>
  <si>
    <t>Armix</t>
  </si>
  <si>
    <t>Artemare</t>
  </si>
  <si>
    <t>Brens</t>
  </si>
  <si>
    <t>Conzieu</t>
  </si>
  <si>
    <t>Cressin Rochefort</t>
  </si>
  <si>
    <r>
      <t xml:space="preserve">Culoz Béon - </t>
    </r>
    <r>
      <rPr>
        <i/>
        <sz val="10"/>
        <color theme="1"/>
        <rFont val="Trebuchet MS"/>
        <family val="2"/>
      </rPr>
      <t>Béon</t>
    </r>
  </si>
  <si>
    <t>Murs et Gelignieux</t>
  </si>
  <si>
    <t>Talissieu</t>
  </si>
  <si>
    <r>
      <t xml:space="preserve">Valromey sur Seran - </t>
    </r>
    <r>
      <rPr>
        <i/>
        <sz val="10"/>
        <color theme="1"/>
        <rFont val="Trebuchet MS"/>
        <family val="2"/>
      </rPr>
      <t>Sutrieu</t>
    </r>
  </si>
  <si>
    <t>Vongnes</t>
  </si>
  <si>
    <r>
      <t xml:space="preserve">Arvière en Valromey - </t>
    </r>
    <r>
      <rPr>
        <i/>
        <sz val="10"/>
        <color theme="1"/>
        <rFont val="Trebuchet MS"/>
        <family val="2"/>
      </rPr>
      <t>Lochieu</t>
    </r>
  </si>
  <si>
    <r>
      <t xml:space="preserve">Culoz Beon - </t>
    </r>
    <r>
      <rPr>
        <i/>
        <sz val="10"/>
        <color theme="1"/>
        <rFont val="Trebuchet MS"/>
        <family val="2"/>
      </rPr>
      <t>Culoz</t>
    </r>
  </si>
  <si>
    <t>Lavours</t>
  </si>
  <si>
    <t>Andert Condon</t>
  </si>
  <si>
    <r>
      <t xml:space="preserve">Arvière en Valromey - </t>
    </r>
    <r>
      <rPr>
        <i/>
        <sz val="10"/>
        <color theme="1"/>
        <rFont val="Trebuchet MS"/>
        <family val="2"/>
      </rPr>
      <t>Chavornay</t>
    </r>
  </si>
  <si>
    <t>Champagne en Valromey</t>
  </si>
  <si>
    <r>
      <t xml:space="preserve">Chazey Bons - </t>
    </r>
    <r>
      <rPr>
        <i/>
        <sz val="10"/>
        <color theme="1"/>
        <rFont val="Trebuchet MS"/>
        <family val="2"/>
      </rPr>
      <t>Pugieu</t>
    </r>
  </si>
  <si>
    <t>Flaxieu</t>
  </si>
  <si>
    <t>Peyrieu</t>
  </si>
  <si>
    <t>Pollieu</t>
  </si>
  <si>
    <r>
      <t>Valromey sur Seran -</t>
    </r>
    <r>
      <rPr>
        <i/>
        <sz val="11"/>
        <color theme="1"/>
        <rFont val="Trebuchet MS"/>
        <family val="2"/>
      </rPr>
      <t xml:space="preserve"> </t>
    </r>
    <r>
      <rPr>
        <i/>
        <sz val="10"/>
        <color theme="1"/>
        <rFont val="Trebuchet MS"/>
        <family val="2"/>
      </rPr>
      <t>Belmont Luthezieu</t>
    </r>
  </si>
  <si>
    <r>
      <t xml:space="preserve">Valromey sur Seran - </t>
    </r>
    <r>
      <rPr>
        <i/>
        <sz val="10"/>
        <color theme="1"/>
        <rFont val="Trebuchet MS"/>
        <family val="2"/>
      </rPr>
      <t>Lompnieu</t>
    </r>
  </si>
  <si>
    <r>
      <t>Valromey sur Seran -</t>
    </r>
    <r>
      <rPr>
        <i/>
        <sz val="11"/>
        <color theme="1"/>
        <rFont val="Trebuchet MS"/>
        <family val="2"/>
      </rPr>
      <t xml:space="preserve"> </t>
    </r>
    <r>
      <rPr>
        <i/>
        <sz val="10"/>
        <color theme="1"/>
        <rFont val="Trebuchet MS"/>
        <family val="2"/>
      </rPr>
      <t>Vieu</t>
    </r>
  </si>
  <si>
    <t>Saint Martin de Bavel</t>
  </si>
  <si>
    <t>Saint Germain les Paroisses</t>
  </si>
  <si>
    <t>Virignin</t>
  </si>
  <si>
    <t>Groupe tarif Agri</t>
  </si>
  <si>
    <t>Grp</t>
  </si>
  <si>
    <r>
      <t xml:space="preserve">Haut Valromey - </t>
    </r>
    <r>
      <rPr>
        <i/>
        <sz val="10"/>
        <color theme="1"/>
        <rFont val="Trebuchet MS"/>
        <family val="2"/>
      </rPr>
      <t>Ruffieu</t>
    </r>
  </si>
  <si>
    <r>
      <t xml:space="preserve">Haut Valromey - </t>
    </r>
    <r>
      <rPr>
        <i/>
        <sz val="10"/>
        <color theme="1"/>
        <rFont val="Trebuchet MS"/>
        <family val="2"/>
      </rPr>
      <t>sauf Ruffieu</t>
    </r>
  </si>
  <si>
    <t>La Burbanche</t>
  </si>
  <si>
    <r>
      <t xml:space="preserve">Magnieu - </t>
    </r>
    <r>
      <rPr>
        <i/>
        <sz val="10"/>
        <color theme="1"/>
        <rFont val="Trebuchet MS"/>
        <family val="2"/>
      </rPr>
      <t>sauf Saint Champ</t>
    </r>
  </si>
  <si>
    <t>Pas de tarif agri</t>
  </si>
  <si>
    <t>DSP</t>
  </si>
  <si>
    <t>Prix m3 HT Eau</t>
  </si>
  <si>
    <t>Part Fixe HT Eau</t>
  </si>
  <si>
    <t>Prix m3 HT Eau Agri</t>
  </si>
  <si>
    <t>Tarif agri HT</t>
  </si>
  <si>
    <t>Tarif ind HT</t>
  </si>
  <si>
    <t>Liste</t>
  </si>
  <si>
    <t>Choisir</t>
  </si>
  <si>
    <t>Oui</t>
  </si>
  <si>
    <t>Non</t>
  </si>
  <si>
    <t>Abonnement annuel eau suivant</t>
  </si>
  <si>
    <t>Groupe tarif Ind</t>
  </si>
  <si>
    <t>Brégnier Cordon</t>
  </si>
  <si>
    <r>
      <t xml:space="preserve">Valromey sur Seran - </t>
    </r>
    <r>
      <rPr>
        <i/>
        <sz val="10"/>
        <rFont val="Trebuchet MS"/>
        <family val="2"/>
      </rPr>
      <t>Belmont Luthezieu</t>
    </r>
  </si>
  <si>
    <r>
      <t xml:space="preserve">Valromey sur Seran - </t>
    </r>
    <r>
      <rPr>
        <i/>
        <sz val="10"/>
        <color theme="1"/>
        <rFont val="Trebuchet MS"/>
        <family val="2"/>
      </rPr>
      <t>Vieu</t>
    </r>
  </si>
  <si>
    <r>
      <t xml:space="preserve">Chazey Bons - </t>
    </r>
    <r>
      <rPr>
        <i/>
        <sz val="10"/>
        <rFont val="Trebuchet MS"/>
        <family val="2"/>
      </rPr>
      <t>Pugieu</t>
    </r>
  </si>
  <si>
    <t>ANC</t>
  </si>
  <si>
    <t>Prix m3 HT Ass</t>
  </si>
  <si>
    <t>Part Fixe HT Ass</t>
  </si>
  <si>
    <t>Redevance consommation eau potable (Agence de l'eau)</t>
  </si>
  <si>
    <t>Redevances organismes publics</t>
  </si>
  <si>
    <t>Performance des réseaux d'eau potable</t>
  </si>
  <si>
    <t>Performance des systèmes d'assainissement collectif</t>
  </si>
  <si>
    <t>Prélèvement ressource en eau</t>
  </si>
  <si>
    <t>Red</t>
  </si>
  <si>
    <t>Tarif</t>
  </si>
  <si>
    <t>Estimation avec le tarif "agriculteurs"</t>
  </si>
  <si>
    <t>Ce document n'est pas une facture mais une estimation.</t>
  </si>
  <si>
    <r>
      <t>Consommation estimée en m</t>
    </r>
    <r>
      <rPr>
        <sz val="10"/>
        <color rgb="FF004155"/>
        <rFont val="Aptos Narrow"/>
        <family val="2"/>
      </rPr>
      <t xml:space="preserve">³  </t>
    </r>
    <r>
      <rPr>
        <sz val="10"/>
        <color rgb="FF004155"/>
        <rFont val="Trebuchet MS"/>
        <family val="2"/>
      </rPr>
      <t>pour 2025 :</t>
    </r>
  </si>
  <si>
    <t>Estimation avec le tarif "industriels"</t>
  </si>
  <si>
    <r>
      <t xml:space="preserve">Nombre de compteur &lt; 40 mm </t>
    </r>
    <r>
      <rPr>
        <b/>
        <sz val="10"/>
        <color rgb="FF9E1E71"/>
        <rFont val="Trebuchet MS"/>
        <family val="2"/>
      </rPr>
      <t>*</t>
    </r>
    <r>
      <rPr>
        <sz val="10"/>
        <color rgb="FF004155"/>
        <rFont val="Trebuchet MS"/>
        <family val="2"/>
      </rPr>
      <t xml:space="preserve"> :</t>
    </r>
  </si>
  <si>
    <r>
      <t xml:space="preserve">Nombre de compteur &gt; 40 mm </t>
    </r>
    <r>
      <rPr>
        <b/>
        <sz val="10"/>
        <color rgb="FF9E1E71"/>
        <rFont val="Trebuchet MS"/>
        <family val="2"/>
      </rPr>
      <t>*</t>
    </r>
    <r>
      <rPr>
        <sz val="10"/>
        <color rgb="FF004155"/>
        <rFont val="Trebuchet MS"/>
        <family val="2"/>
      </rPr>
      <t xml:space="preserve"> :</t>
    </r>
  </si>
  <si>
    <t>Abonnement annuel eau compteur&lt;40mm</t>
  </si>
  <si>
    <t>Abonnement annuel eau compteur&gt;40mm</t>
  </si>
  <si>
    <t>-</t>
  </si>
  <si>
    <r>
      <rPr>
        <b/>
        <i/>
        <sz val="8"/>
        <color rgb="FF9E1E71"/>
        <rFont val="Trebuchet MS"/>
        <family val="2"/>
      </rPr>
      <t>*</t>
    </r>
    <r>
      <rPr>
        <b/>
        <i/>
        <sz val="8"/>
        <color theme="1"/>
        <rFont val="Trebuchet MS"/>
        <family val="2"/>
      </rPr>
      <t>Diamètre du compteur. Saisir 0 si vous n'avez pas de compteur du diamètre indiqué.</t>
    </r>
  </si>
  <si>
    <t>Prix m3 Eau HT</t>
  </si>
  <si>
    <t>Prix m3 Eau TTC</t>
  </si>
  <si>
    <t>Part Fixe annuelle Eau HT</t>
  </si>
  <si>
    <t>Part Fixe annuelle Eau TTC</t>
  </si>
  <si>
    <t>Prix m3 Eau HT Agriculteur</t>
  </si>
  <si>
    <t>Prix m3 Eau TTC Agriculteur</t>
  </si>
  <si>
    <t>Prix m3 Eau HT Ind</t>
  </si>
  <si>
    <t>Prix m3 Eau HT Industriel</t>
  </si>
  <si>
    <t>Prix m3 Eau TTC Industriel</t>
  </si>
  <si>
    <t>Prix m3 Ass HT</t>
  </si>
  <si>
    <t>Prix m3 Assainissement HT</t>
  </si>
  <si>
    <t>Prix m3 Assainissement TTC</t>
  </si>
  <si>
    <t>Part Fixe annuelle Ass HT</t>
  </si>
  <si>
    <t>Part Fixe annuelle Ass TTC</t>
  </si>
  <si>
    <t>Part Fixe annuelle Eau Agriculteur</t>
  </si>
  <si>
    <t>250€ HT ou 263,75€ TTC pour le 1er compteur
50€ HT ou 52,75€ TTC par compteur vert et compteurs suivants</t>
  </si>
  <si>
    <t>Part Fixe annuelle Eau Industriel</t>
  </si>
  <si>
    <t>Prix m3 Ass TTC</t>
  </si>
  <si>
    <t xml:space="preserve">Diamètre compteur&lt;40mm 
100€ HT ou 105,50€ TTC 
Diamètre compteur&gt;40mm 
1500€ HT ou 1582,50€ TTC </t>
  </si>
  <si>
    <t>TARIF 2025</t>
  </si>
  <si>
    <r>
      <t>Arviere en Valromey -</t>
    </r>
    <r>
      <rPr>
        <sz val="12"/>
        <color theme="1"/>
        <rFont val="Trebuchet MS"/>
        <family val="2"/>
      </rPr>
      <t xml:space="preserve"> Brenaz</t>
    </r>
  </si>
  <si>
    <r>
      <t xml:space="preserve">Arvière en Valromey - </t>
    </r>
    <r>
      <rPr>
        <i/>
        <sz val="12"/>
        <color theme="1"/>
        <rFont val="Trebuchet MS"/>
        <family val="2"/>
      </rPr>
      <t>Chavornay</t>
    </r>
  </si>
  <si>
    <r>
      <t xml:space="preserve">Arvière en Valromey - </t>
    </r>
    <r>
      <rPr>
        <i/>
        <sz val="12"/>
        <color theme="1"/>
        <rFont val="Trebuchet MS"/>
        <family val="2"/>
      </rPr>
      <t>Lochieu</t>
    </r>
  </si>
  <si>
    <r>
      <t xml:space="preserve">Arvière en Valromey </t>
    </r>
    <r>
      <rPr>
        <b/>
        <i/>
        <sz val="12"/>
        <color theme="1"/>
        <rFont val="Trebuchet MS"/>
        <family val="2"/>
      </rPr>
      <t xml:space="preserve">- </t>
    </r>
    <r>
      <rPr>
        <i/>
        <sz val="12"/>
        <color theme="1"/>
        <rFont val="Trebuchet MS"/>
        <family val="2"/>
      </rPr>
      <t>Virieu le Petit</t>
    </r>
  </si>
  <si>
    <r>
      <t xml:space="preserve">Chazey Bons - </t>
    </r>
    <r>
      <rPr>
        <i/>
        <sz val="12"/>
        <color theme="1"/>
        <rFont val="Trebuchet MS"/>
        <family val="2"/>
      </rPr>
      <t>Pugieu</t>
    </r>
  </si>
  <si>
    <r>
      <t xml:space="preserve">Culoz Béon - </t>
    </r>
    <r>
      <rPr>
        <i/>
        <sz val="12"/>
        <color theme="1"/>
        <rFont val="Trebuchet MS"/>
        <family val="2"/>
      </rPr>
      <t>Béon</t>
    </r>
  </si>
  <si>
    <r>
      <t xml:space="preserve">Culoz Beon - </t>
    </r>
    <r>
      <rPr>
        <i/>
        <sz val="12"/>
        <color theme="1"/>
        <rFont val="Trebuchet MS"/>
        <family val="2"/>
      </rPr>
      <t>Culoz</t>
    </r>
  </si>
  <si>
    <r>
      <t xml:space="preserve">Haut Valromey - </t>
    </r>
    <r>
      <rPr>
        <i/>
        <sz val="12"/>
        <color theme="1"/>
        <rFont val="Trebuchet MS"/>
        <family val="2"/>
      </rPr>
      <t>Ruffieu</t>
    </r>
  </si>
  <si>
    <r>
      <t xml:space="preserve">Haut Valromey - </t>
    </r>
    <r>
      <rPr>
        <i/>
        <sz val="12"/>
        <color theme="1"/>
        <rFont val="Trebuchet MS"/>
        <family val="2"/>
      </rPr>
      <t>sauf Ruffieu</t>
    </r>
  </si>
  <si>
    <r>
      <t xml:space="preserve">Magnieu - </t>
    </r>
    <r>
      <rPr>
        <i/>
        <sz val="12"/>
        <color theme="1"/>
        <rFont val="Trebuchet MS"/>
        <family val="2"/>
      </rPr>
      <t>sauf Saint Champ</t>
    </r>
  </si>
  <si>
    <r>
      <t>Valromey sur Seran -</t>
    </r>
    <r>
      <rPr>
        <i/>
        <sz val="12"/>
        <color theme="1"/>
        <rFont val="Trebuchet MS"/>
        <family val="2"/>
      </rPr>
      <t xml:space="preserve"> Belmont Luthezieu</t>
    </r>
  </si>
  <si>
    <r>
      <t xml:space="preserve">Valromey sur Seran - </t>
    </r>
    <r>
      <rPr>
        <i/>
        <sz val="12"/>
        <color theme="1"/>
        <rFont val="Trebuchet MS"/>
        <family val="2"/>
      </rPr>
      <t>Lompnieu</t>
    </r>
  </si>
  <si>
    <r>
      <t xml:space="preserve">Valromey sur Seran - </t>
    </r>
    <r>
      <rPr>
        <i/>
        <sz val="12"/>
        <color theme="1"/>
        <rFont val="Trebuchet MS"/>
        <family val="2"/>
      </rPr>
      <t>Sutrieu</t>
    </r>
  </si>
  <si>
    <r>
      <t>Valromey sur Seran -</t>
    </r>
    <r>
      <rPr>
        <i/>
        <sz val="12"/>
        <color theme="1"/>
        <rFont val="Trebuchet MS"/>
        <family val="2"/>
      </rPr>
      <t xml:space="preserve"> Vieu</t>
    </r>
  </si>
  <si>
    <t>Commune du lieu desservi :</t>
  </si>
  <si>
    <t>Nombre de compteur(s) agricole(s):</t>
  </si>
  <si>
    <t>Elevage de bétail :</t>
  </si>
  <si>
    <r>
      <t>Tarif vert</t>
    </r>
    <r>
      <rPr>
        <b/>
        <sz val="11"/>
        <color rgb="FF9E1E71"/>
        <rFont val="Trebuchet MS"/>
        <family val="2"/>
      </rPr>
      <t>*</t>
    </r>
    <r>
      <rPr>
        <sz val="10"/>
        <color rgb="FF004155"/>
        <rFont val="Trebuchet MS"/>
        <family val="2"/>
      </rPr>
      <t>:</t>
    </r>
  </si>
  <si>
    <t>Les conditions d’application du tarif agriculteurs sont les suivantes :</t>
  </si>
  <si>
    <r>
      <rPr>
        <b/>
        <sz val="8"/>
        <color rgb="FF9E1E71"/>
        <rFont val="Trebuchet MS"/>
        <family val="2"/>
      </rPr>
      <t>*</t>
    </r>
    <r>
      <rPr>
        <b/>
        <sz val="8"/>
        <color theme="1"/>
        <rFont val="Trebuchet MS"/>
        <family val="2"/>
      </rPr>
      <t>Tarif vert accessible avec attestation aux agriculteurs certifiés « agriculture biologique », aux agriculteurs en voie de certification « agriculture biologique », ainsi qu’aux agriculteurs bénéficiant de la certification « Haute Valeur Environnementale ».</t>
    </r>
  </si>
  <si>
    <t xml:space="preserve">  ¤ Une demande de l’abonné</t>
  </si>
  <si>
    <t xml:space="preserve">  ¤ Une attestation MSA- ATEXa</t>
  </si>
  <si>
    <t xml:space="preserve">  ¤ Disposer de compteur(s) d’individualisation pour activités agricoles, clairement identifié(s) et repéré(s)</t>
  </si>
  <si>
    <t>Estimation le tarif "domestiques ou assimilés"</t>
  </si>
  <si>
    <t>Estimation avec le tarif "domestiques ou assimilés"</t>
  </si>
  <si>
    <t xml:space="preserve">  ¤ Un justificatif du code NAF de l’industrie concernée</t>
  </si>
  <si>
    <t>Sont considérées comme « activités industrielles », les activités économiques qui combinent des facteurs de production - installations, approvisionnements, travail, savoir - pour produire des biens matériels de marché.</t>
  </si>
  <si>
    <t>Simulation de tarification "agriculteurs"</t>
  </si>
  <si>
    <t>Le tarif "agriculteurs" ne s'applique pas aux communes en Délégation de Service Public (Chazey Bons sauf Pugieu, Cheignieu la Balme, Contrevoz, Cuzieu, Groslée saint Benoit, Magnieu Saint Champ, Marignieu, Massignieu, Parves et Nattages, Rossillon).</t>
  </si>
  <si>
    <t>Simulation de tarification "industriels"</t>
  </si>
  <si>
    <t>Le tarif "industriels" ne s'applique pas aux communes en Délégation de Service Public (Chazey Bons sauf Pugieu, Cheignieu la Balme, Contrevoz, Cuzieu, Groslée saint Benoit, Magnieu Saint Champ Chatonod, Marignieu, Massignieu de Rives, Parves et Nattages, Rossillon).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</si>
</sst>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0.00\ &quot;€&quot;;\-#,##0.00\ &quot;€&quot;"/>
    <numFmt numFmtId="44" formatCode="_-* #,##0.00\ &quot;€&quot;_-;\-* #,##0.00\ &quot;€&quot;_-;_-* &quot;-&quot;??\ &quot;€&quot;_-;_-@_-"/>
    <numFmt numFmtId="43" formatCode="_-* #,##0.00_-;\-* #,##0.00_-;_-* &quot;-&quot;??_-;_-@_-"/>
    <numFmt numFmtId="164" formatCode="_-* #,##0.000_-;\-* #,##0.000_-;_-* &quot;-&quot;??_-;_-@_-"/>
    <numFmt numFmtId="165" formatCode="_-* #,##0.00\ [$€-40C]_-;\-* #,##0.00\ [$€-40C]_-;_-* &quot;-&quot;??\ [$€-40C]_-;_-@_-"/>
    <numFmt numFmtId="166" formatCode="0.0%"/>
    <numFmt numFmtId="167" formatCode="0.000"/>
    <numFmt numFmtId="168" formatCode="#,##0.000\ &quot;€&quot;"/>
    <numFmt numFmtId="169" formatCode="#,##0.00\ &quot;€&quot;"/>
    <numFmt numFmtId="170" formatCode="_-* #,##0\ &quot;€&quot;_-;\-* #,##0\ &quot;€&quot;_-;_-* &quot;-&quot;??\ &quot;€&quot;_-;_-@_-"/>
    <numFmt numFmtId="171" formatCode="_-* #,##0.000\ [$€-40C]_-;\-* #,##0.000\ [$€-40C]_-;_-* &quot;-&quot;??\ [$€-40C]_-;_-@_-"/>
    <numFmt numFmtId="172" formatCode="_-* #,##0.0000\ &quot;€&quot;_-;\-* #,##0.0000\ &quot;€&quot;_-;_-* &quot;-&quot;??\ &quot;€&quot;_-;_-@_-"/>
    <numFmt numFmtId="173" formatCode="_-* #,##0.000\ &quot;€&quot;_-;\-* #,##0.000\ &quot;€&quot;_-;_-* &quot;-&quot;??\ &quot;€&quot;_-;_-@_-"/>
    <numFmt numFmtId="174" formatCode="_-* #,##0.0000\ &quot;€&quot;_-;\-* #,##0.0000\ &quot;€&quot;_-;_-* &quot;-&quot;????\ &quot;€&quot;_-;_-@_-"/>
  </numFmts>
  <fonts count="50" x14ac:knownFonts="1">
    <font>
      <sz val="11"/>
      <color theme="1"/>
      <name val="Aptos Narrow"/>
      <family val="2"/>
      <scheme val="minor"/>
    </font>
    <font>
      <u/>
      <sz val="11"/>
      <color theme="10"/>
      <name val="Aptos Narrow"/>
      <family val="2"/>
      <scheme val="minor"/>
    </font>
    <font>
      <sz val="9"/>
      <color theme="1"/>
      <name val="Aptos Narrow"/>
      <family val="2"/>
      <scheme val="minor"/>
    </font>
    <font>
      <b/>
      <sz val="9"/>
      <color rgb="FF00A3AA"/>
      <name val="Trebuchet MS"/>
      <family val="2"/>
    </font>
    <font>
      <sz val="9"/>
      <color theme="1"/>
      <name val="Trebuchet MS"/>
      <family val="2"/>
    </font>
    <font>
      <u/>
      <sz val="9"/>
      <color rgb="FF004155"/>
      <name val="Trebuchet MS"/>
      <family val="2"/>
    </font>
    <font>
      <sz val="8"/>
      <name val="Aptos Narrow"/>
      <family val="2"/>
      <scheme val="minor"/>
    </font>
    <font>
      <b/>
      <sz val="16"/>
      <color rgb="FF004155"/>
      <name val="Trebuchet MS"/>
      <family val="2"/>
    </font>
    <font>
      <sz val="11"/>
      <color theme="1"/>
      <name val="Aptos Narrow"/>
      <family val="2"/>
      <scheme val="minor"/>
    </font>
    <font>
      <sz val="11"/>
      <color theme="0"/>
      <name val="Aptos Narrow"/>
      <family val="2"/>
      <scheme val="minor"/>
    </font>
    <font>
      <b/>
      <u/>
      <sz val="9"/>
      <color rgb="FF006F6B"/>
      <name val="Trebuchet MS"/>
      <family val="2"/>
    </font>
    <font>
      <sz val="9"/>
      <color theme="1"/>
      <name val="Calibri"/>
      <family val="2"/>
    </font>
    <font>
      <b/>
      <i/>
      <sz val="11"/>
      <color theme="1"/>
      <name val="Trebuchet MS"/>
      <family val="2"/>
    </font>
    <font>
      <sz val="10"/>
      <color theme="0"/>
      <name val="Trebuchet MS"/>
      <family val="2"/>
    </font>
    <font>
      <sz val="10"/>
      <color theme="1"/>
      <name val="Aptos Narrow"/>
      <family val="2"/>
      <scheme val="minor"/>
    </font>
    <font>
      <sz val="9"/>
      <color rgb="FF004155"/>
      <name val="Trebuchet MS"/>
      <family val="2"/>
    </font>
    <font>
      <b/>
      <sz val="11"/>
      <color theme="1"/>
      <name val="Trebuchet MS"/>
      <family val="2"/>
    </font>
    <font>
      <sz val="11"/>
      <color theme="1"/>
      <name val="Trebuchet MS"/>
      <family val="2"/>
    </font>
    <font>
      <sz val="10"/>
      <color theme="1"/>
      <name val="Trebuchet MS"/>
      <family val="2"/>
    </font>
    <font>
      <i/>
      <sz val="10"/>
      <color theme="1"/>
      <name val="Trebuchet MS"/>
      <family val="2"/>
    </font>
    <font>
      <b/>
      <sz val="11"/>
      <name val="Trebuchet MS"/>
      <family val="2"/>
    </font>
    <font>
      <sz val="11"/>
      <name val="Trebuchet MS"/>
      <family val="2"/>
    </font>
    <font>
      <i/>
      <sz val="11"/>
      <color theme="1"/>
      <name val="Trebuchet MS"/>
      <family val="2"/>
    </font>
    <font>
      <b/>
      <sz val="10"/>
      <color rgb="FF004155"/>
      <name val="Trebuchet MS"/>
      <family val="2"/>
    </font>
    <font>
      <i/>
      <sz val="10"/>
      <name val="Trebuchet MS"/>
      <family val="2"/>
    </font>
    <font>
      <sz val="10"/>
      <color rgb="FF004155"/>
      <name val="Trebuchet MS"/>
      <family val="2"/>
    </font>
    <font>
      <sz val="10"/>
      <color rgb="FF004155"/>
      <name val="Aptos Narrow"/>
      <family val="2"/>
    </font>
    <font>
      <b/>
      <sz val="10"/>
      <color theme="0"/>
      <name val="Trebuchet MS"/>
      <family val="2"/>
    </font>
    <font>
      <sz val="9"/>
      <color theme="0"/>
      <name val="Trebuchet MS"/>
      <family val="2"/>
    </font>
    <font>
      <sz val="8"/>
      <color theme="0"/>
      <name val="Trebuchet MS"/>
      <family val="2"/>
    </font>
    <font>
      <b/>
      <i/>
      <sz val="11"/>
      <color rgb="FF9E1E71"/>
      <name val="Aptos Narrow"/>
      <family val="2"/>
      <scheme val="minor"/>
    </font>
    <font>
      <b/>
      <i/>
      <sz val="8"/>
      <color theme="1"/>
      <name val="Trebuchet MS"/>
      <family val="2"/>
    </font>
    <font>
      <b/>
      <i/>
      <sz val="8"/>
      <color rgb="FF9E1E71"/>
      <name val="Trebuchet MS"/>
      <family val="2"/>
    </font>
    <font>
      <b/>
      <sz val="8"/>
      <color theme="1"/>
      <name val="Aptos Narrow"/>
      <family val="2"/>
      <scheme val="minor"/>
    </font>
    <font>
      <b/>
      <sz val="10"/>
      <color rgb="FF9E1E71"/>
      <name val="Trebuchet MS"/>
      <family val="2"/>
    </font>
    <font>
      <b/>
      <sz val="12"/>
      <color theme="1"/>
      <name val="Trebuchet MS"/>
      <family val="2"/>
    </font>
    <font>
      <sz val="12"/>
      <color theme="1"/>
      <name val="Aptos Narrow"/>
      <family val="2"/>
      <scheme val="minor"/>
    </font>
    <font>
      <sz val="12"/>
      <color theme="1"/>
      <name val="Trebuchet MS"/>
      <family val="2"/>
    </font>
    <font>
      <i/>
      <sz val="12"/>
      <color theme="1"/>
      <name val="Trebuchet MS"/>
      <family val="2"/>
    </font>
    <font>
      <b/>
      <i/>
      <sz val="12"/>
      <color theme="1"/>
      <name val="Trebuchet MS"/>
      <family val="2"/>
    </font>
    <font>
      <b/>
      <sz val="12"/>
      <name val="Trebuchet MS"/>
      <family val="2"/>
    </font>
    <font>
      <sz val="12"/>
      <name val="Trebuchet MS"/>
      <family val="2"/>
    </font>
    <font>
      <b/>
      <u/>
      <sz val="12"/>
      <color rgb="FF006F6B"/>
      <name val="Trebuchet MS"/>
      <family val="2"/>
    </font>
    <font>
      <b/>
      <sz val="11"/>
      <color theme="0"/>
      <name val="Trebuchet MS"/>
      <family val="2"/>
    </font>
    <font>
      <b/>
      <sz val="11"/>
      <color rgb="FF9E1E71"/>
      <name val="Trebuchet MS"/>
      <family val="2"/>
    </font>
    <font>
      <b/>
      <sz val="8"/>
      <color theme="1"/>
      <name val="Trebuchet MS"/>
      <family val="2"/>
    </font>
    <font>
      <i/>
      <sz val="8"/>
      <color theme="1"/>
      <name val="Trebuchet MS"/>
      <family val="2"/>
    </font>
    <font>
      <b/>
      <sz val="8"/>
      <color rgb="FF9E1E71"/>
      <name val="Trebuchet MS"/>
      <family val="2"/>
    </font>
    <font>
      <b/>
      <sz val="10.5"/>
      <color rgb="FF9E1E71"/>
      <name val="Trebuchet MS"/>
      <family val="2"/>
    </font>
    <font>
      <sz val="10.5"/>
      <color theme="1"/>
      <name val="Aptos Narrow"/>
      <family val="2"/>
      <scheme val="minor"/>
    </font>
  </fonts>
  <fills count="7">
    <fill>
      <patternFill patternType="none"/>
    </fill>
    <fill>
      <patternFill patternType="gray125"/>
    </fill>
    <fill>
      <patternFill patternType="solid">
        <fgColor rgb="FFAFCA0B"/>
        <bgColor indexed="64"/>
      </patternFill>
    </fill>
    <fill>
      <patternFill patternType="solid">
        <fgColor theme="8" tint="0.59999389629810485"/>
        <bgColor indexed="64"/>
      </patternFill>
    </fill>
    <fill>
      <patternFill patternType="solid">
        <fgColor rgb="FF9E1E71"/>
        <bgColor indexed="64"/>
      </patternFill>
    </fill>
    <fill>
      <patternFill patternType="solid">
        <fgColor rgb="FF5FC4E1"/>
        <bgColor indexed="64"/>
      </patternFill>
    </fill>
    <fill>
      <patternFill patternType="solid">
        <fgColor rgb="FF006F6B"/>
        <bgColor indexed="64"/>
      </patternFill>
    </fill>
  </fills>
  <borders count="61">
    <border>
      <left/>
      <right/>
      <top/>
      <bottom/>
      <diagonal/>
    </border>
    <border>
      <left/>
      <right/>
      <top/>
      <bottom style="medium">
        <color rgb="FFAFCA0B"/>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5">
    <xf numFmtId="0" fontId="0" fillId="0" borderId="0"/>
    <xf numFmtId="0" fontId="1"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283">
    <xf numFmtId="0" fontId="0" fillId="0" borderId="0" xfId="0"/>
    <xf numFmtId="0" fontId="3" fillId="0" borderId="0" xfId="0" applyFont="1"/>
    <xf numFmtId="0" fontId="4" fillId="0" borderId="0" xfId="0" applyFont="1"/>
    <xf numFmtId="0" fontId="2" fillId="0" borderId="1" xfId="0" applyFont="1" applyBorder="1"/>
    <xf numFmtId="0" fontId="0" fillId="0" borderId="0" xfId="0" applyAlignment="1">
      <alignment vertical="center"/>
    </xf>
    <xf numFmtId="0" fontId="5" fillId="0" borderId="1" xfId="1" applyFont="1" applyBorder="1" applyAlignment="1">
      <alignment vertical="center"/>
    </xf>
    <xf numFmtId="0" fontId="10" fillId="0" borderId="6" xfId="0" applyFont="1" applyBorder="1"/>
    <xf numFmtId="1" fontId="4" fillId="0" borderId="8" xfId="0" applyNumberFormat="1" applyFont="1" applyBorder="1" applyAlignment="1">
      <alignment horizontal="right"/>
    </xf>
    <xf numFmtId="165" fontId="4" fillId="0" borderId="8" xfId="0" applyNumberFormat="1" applyFont="1" applyBorder="1"/>
    <xf numFmtId="0" fontId="4" fillId="0" borderId="6" xfId="0" applyFont="1" applyBorder="1" applyAlignment="1">
      <alignment horizontal="left"/>
    </xf>
    <xf numFmtId="44" fontId="4" fillId="0" borderId="7" xfId="3" applyFont="1" applyBorder="1" applyAlignment="1">
      <alignment horizontal="center" vertical="center"/>
    </xf>
    <xf numFmtId="166" fontId="4" fillId="0" borderId="7" xfId="4" applyNumberFormat="1" applyFont="1" applyBorder="1" applyAlignment="1">
      <alignment horizontal="center" vertical="center"/>
    </xf>
    <xf numFmtId="165" fontId="4" fillId="0" borderId="7" xfId="0" applyNumberFormat="1" applyFont="1" applyBorder="1" applyAlignment="1">
      <alignment horizontal="center" vertical="center"/>
    </xf>
    <xf numFmtId="0" fontId="10" fillId="0" borderId="6" xfId="0" applyFont="1" applyBorder="1" applyAlignment="1">
      <alignment horizontal="left"/>
    </xf>
    <xf numFmtId="9" fontId="4" fillId="0" borderId="7" xfId="4" applyFont="1" applyBorder="1" applyAlignment="1">
      <alignment horizontal="center" vertical="center"/>
    </xf>
    <xf numFmtId="0" fontId="4" fillId="0" borderId="9" xfId="0" applyFont="1" applyBorder="1" applyAlignment="1">
      <alignment horizontal="left"/>
    </xf>
    <xf numFmtId="44" fontId="4" fillId="0" borderId="10" xfId="3" applyFont="1" applyBorder="1" applyAlignment="1">
      <alignment horizontal="center" vertical="center"/>
    </xf>
    <xf numFmtId="166" fontId="4" fillId="0" borderId="10" xfId="4" applyNumberFormat="1" applyFont="1" applyBorder="1" applyAlignment="1">
      <alignment horizontal="center" vertical="center"/>
    </xf>
    <xf numFmtId="165" fontId="4" fillId="0" borderId="10" xfId="0" applyNumberFormat="1" applyFont="1" applyBorder="1" applyAlignment="1">
      <alignment horizontal="center" vertical="center"/>
    </xf>
    <xf numFmtId="0" fontId="4" fillId="0" borderId="0" xfId="0" applyFont="1" applyAlignment="1">
      <alignment horizontal="center" vertical="center"/>
    </xf>
    <xf numFmtId="0" fontId="5" fillId="0" borderId="0" xfId="1" applyFont="1" applyBorder="1" applyAlignment="1">
      <alignment vertical="center"/>
    </xf>
    <xf numFmtId="0" fontId="14" fillId="0" borderId="0" xfId="0" applyFont="1"/>
    <xf numFmtId="0" fontId="0" fillId="2" borderId="0" xfId="0" applyFill="1"/>
    <xf numFmtId="0" fontId="0" fillId="2" borderId="0" xfId="0" applyFill="1" applyAlignment="1">
      <alignment vertical="center"/>
    </xf>
    <xf numFmtId="0" fontId="4" fillId="2" borderId="0" xfId="0" applyFont="1" applyFill="1" applyAlignment="1">
      <alignment vertical="center"/>
    </xf>
    <xf numFmtId="0" fontId="15" fillId="2" borderId="5"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44" fontId="15" fillId="2" borderId="4" xfId="3" applyFont="1" applyFill="1" applyBorder="1" applyAlignment="1">
      <alignment horizontal="center" vertical="center" wrapText="1"/>
    </xf>
    <xf numFmtId="44" fontId="15" fillId="2" borderId="5" xfId="3" applyFont="1" applyFill="1" applyBorder="1" applyAlignment="1">
      <alignment horizontal="center" vertical="center" wrapText="1"/>
    </xf>
    <xf numFmtId="0" fontId="9" fillId="0" borderId="0" xfId="0" applyFont="1" applyAlignment="1">
      <alignment vertical="center"/>
    </xf>
    <xf numFmtId="0" fontId="16" fillId="3" borderId="11" xfId="0" applyFont="1" applyFill="1" applyBorder="1" applyAlignment="1">
      <alignment horizontal="center" vertical="center"/>
    </xf>
    <xf numFmtId="169" fontId="17" fillId="0" borderId="5" xfId="0" applyNumberFormat="1" applyFont="1" applyBorder="1" applyAlignment="1">
      <alignment horizontal="center" vertical="center"/>
    </xf>
    <xf numFmtId="168" fontId="17" fillId="0" borderId="0" xfId="0" applyNumberFormat="1" applyFont="1" applyAlignment="1">
      <alignment horizontal="center" vertical="center"/>
    </xf>
    <xf numFmtId="0" fontId="16" fillId="0" borderId="18" xfId="0" applyFont="1" applyBorder="1" applyAlignment="1">
      <alignment horizontal="left" vertical="center" wrapText="1"/>
    </xf>
    <xf numFmtId="0" fontId="16" fillId="0" borderId="26" xfId="0" applyFont="1" applyBorder="1" applyAlignment="1">
      <alignment vertical="center" wrapText="1"/>
    </xf>
    <xf numFmtId="0" fontId="16" fillId="0" borderId="26" xfId="0" applyFont="1" applyBorder="1" applyAlignment="1">
      <alignment horizontal="left" vertical="center" wrapText="1"/>
    </xf>
    <xf numFmtId="0" fontId="16" fillId="0" borderId="27" xfId="0" applyFont="1" applyBorder="1" applyAlignment="1">
      <alignment vertical="center" wrapText="1"/>
    </xf>
    <xf numFmtId="168" fontId="17" fillId="0" borderId="30" xfId="0" applyNumberFormat="1" applyFont="1" applyBorder="1" applyAlignment="1">
      <alignment horizontal="center" vertical="center"/>
    </xf>
    <xf numFmtId="0" fontId="16" fillId="0" borderId="32" xfId="0" applyFont="1" applyBorder="1" applyAlignment="1">
      <alignment horizontal="left" vertical="center" wrapText="1"/>
    </xf>
    <xf numFmtId="0" fontId="16" fillId="0" borderId="15" xfId="0" applyFont="1" applyBorder="1" applyAlignment="1">
      <alignment vertical="center" wrapText="1"/>
    </xf>
    <xf numFmtId="0" fontId="16" fillId="0" borderId="19" xfId="0" applyFont="1" applyBorder="1" applyAlignment="1">
      <alignment vertical="center" wrapText="1"/>
    </xf>
    <xf numFmtId="0" fontId="16" fillId="0" borderId="19" xfId="0" applyFont="1" applyBorder="1" applyAlignment="1">
      <alignment horizontal="left" vertical="center" wrapText="1"/>
    </xf>
    <xf numFmtId="0" fontId="16" fillId="0" borderId="11" xfId="0" applyFont="1" applyBorder="1" applyAlignment="1">
      <alignment horizontal="left" vertical="center" wrapText="1"/>
    </xf>
    <xf numFmtId="0" fontId="16" fillId="0" borderId="23" xfId="0" applyFont="1" applyBorder="1" applyAlignment="1">
      <alignment horizontal="left" vertical="center" wrapText="1"/>
    </xf>
    <xf numFmtId="0" fontId="16" fillId="0" borderId="21" xfId="0" applyFont="1" applyBorder="1" applyAlignment="1">
      <alignment vertical="center" wrapText="1"/>
    </xf>
    <xf numFmtId="0" fontId="16" fillId="2" borderId="11" xfId="0" applyFont="1" applyFill="1" applyBorder="1" applyAlignment="1">
      <alignment horizontal="center" vertical="center" wrapText="1"/>
    </xf>
    <xf numFmtId="0" fontId="23" fillId="2" borderId="0" xfId="1" applyFont="1" applyFill="1" applyBorder="1" applyAlignment="1">
      <alignment vertical="center"/>
    </xf>
    <xf numFmtId="0" fontId="0" fillId="0" borderId="0" xfId="0" applyAlignment="1">
      <alignment horizontal="center"/>
    </xf>
    <xf numFmtId="0" fontId="16" fillId="5" borderId="11" xfId="0" applyFont="1" applyFill="1" applyBorder="1" applyAlignment="1">
      <alignment horizontal="center" vertical="center" wrapText="1"/>
    </xf>
    <xf numFmtId="0" fontId="0" fillId="5" borderId="0" xfId="0" applyFill="1"/>
    <xf numFmtId="0" fontId="16" fillId="0" borderId="11" xfId="0" applyFont="1" applyBorder="1" applyAlignment="1">
      <alignment horizontal="center" vertical="center" wrapText="1"/>
    </xf>
    <xf numFmtId="167" fontId="16" fillId="0" borderId="35" xfId="0" applyNumberFormat="1" applyFont="1" applyBorder="1" applyAlignment="1">
      <alignment horizontal="center" vertical="center" wrapText="1"/>
    </xf>
    <xf numFmtId="0" fontId="16" fillId="0" borderId="33" xfId="0" applyFont="1" applyBorder="1" applyAlignment="1">
      <alignment vertical="center" wrapText="1"/>
    </xf>
    <xf numFmtId="0" fontId="16" fillId="0" borderId="34" xfId="0" applyFont="1" applyBorder="1" applyAlignment="1">
      <alignment horizontal="center" vertical="center"/>
    </xf>
    <xf numFmtId="168" fontId="17" fillId="0" borderId="36" xfId="0" applyNumberFormat="1" applyFont="1" applyBorder="1" applyAlignment="1">
      <alignment horizontal="center" vertical="center"/>
    </xf>
    <xf numFmtId="168" fontId="17" fillId="0" borderId="13" xfId="0" applyNumberFormat="1" applyFont="1" applyBorder="1" applyAlignment="1">
      <alignment horizontal="center" vertical="center"/>
    </xf>
    <xf numFmtId="0" fontId="16" fillId="0" borderId="11" xfId="0" applyFont="1" applyBorder="1" applyAlignment="1">
      <alignment horizontal="center" vertical="center"/>
    </xf>
    <xf numFmtId="168" fontId="17" fillId="0" borderId="14" xfId="0" applyNumberFormat="1" applyFont="1" applyBorder="1" applyAlignment="1">
      <alignment horizontal="center" vertical="center"/>
    </xf>
    <xf numFmtId="168" fontId="17" fillId="0" borderId="17" xfId="0" applyNumberFormat="1" applyFont="1" applyBorder="1" applyAlignment="1">
      <alignment horizontal="center" vertical="center"/>
    </xf>
    <xf numFmtId="168" fontId="17" fillId="0" borderId="26" xfId="0" applyNumberFormat="1" applyFont="1" applyBorder="1" applyAlignment="1">
      <alignment horizontal="center" vertical="center"/>
    </xf>
    <xf numFmtId="168" fontId="17" fillId="0" borderId="2" xfId="0" applyNumberFormat="1" applyFont="1" applyBorder="1" applyAlignment="1">
      <alignment horizontal="center" vertical="center"/>
    </xf>
    <xf numFmtId="0" fontId="20" fillId="0" borderId="21" xfId="0" applyFont="1" applyBorder="1" applyAlignment="1">
      <alignment vertical="center" wrapText="1"/>
    </xf>
    <xf numFmtId="0" fontId="17" fillId="0" borderId="11" xfId="0" applyFont="1" applyBorder="1" applyAlignment="1">
      <alignment horizontal="center" vertical="center"/>
    </xf>
    <xf numFmtId="0" fontId="16" fillId="0" borderId="37" xfId="0" applyFont="1" applyBorder="1" applyAlignment="1">
      <alignment vertical="center" wrapText="1"/>
    </xf>
    <xf numFmtId="168" fontId="17" fillId="0" borderId="27" xfId="0" applyNumberFormat="1" applyFont="1" applyBorder="1" applyAlignment="1">
      <alignment horizontal="center" vertical="center"/>
    </xf>
    <xf numFmtId="168" fontId="17" fillId="0" borderId="29" xfId="0" applyNumberFormat="1" applyFont="1" applyBorder="1" applyAlignment="1">
      <alignment horizontal="center" vertical="center"/>
    </xf>
    <xf numFmtId="0" fontId="16" fillId="0" borderId="15" xfId="0" applyFont="1" applyBorder="1" applyAlignment="1">
      <alignment horizontal="left" vertical="center" wrapText="1"/>
    </xf>
    <xf numFmtId="0" fontId="17" fillId="0" borderId="38" xfId="0" applyFont="1" applyBorder="1" applyAlignment="1">
      <alignment horizontal="center" vertical="center"/>
    </xf>
    <xf numFmtId="168" fontId="17" fillId="0" borderId="22" xfId="0" applyNumberFormat="1" applyFont="1" applyBorder="1" applyAlignment="1">
      <alignment horizontal="center" vertical="center"/>
    </xf>
    <xf numFmtId="168" fontId="17" fillId="0" borderId="9" xfId="0" applyNumberFormat="1" applyFont="1" applyBorder="1" applyAlignment="1">
      <alignment horizontal="center" vertical="center"/>
    </xf>
    <xf numFmtId="168" fontId="17" fillId="0" borderId="32" xfId="0" applyNumberFormat="1" applyFont="1" applyBorder="1" applyAlignment="1">
      <alignment horizontal="center" vertical="center"/>
    </xf>
    <xf numFmtId="0" fontId="17" fillId="0" borderId="24" xfId="0" applyFont="1" applyBorder="1" applyAlignment="1">
      <alignment horizontal="center" vertical="center"/>
    </xf>
    <xf numFmtId="168" fontId="17" fillId="0" borderId="39" xfId="0" applyNumberFormat="1" applyFont="1" applyBorder="1" applyAlignment="1">
      <alignment horizontal="center" vertical="center"/>
    </xf>
    <xf numFmtId="168" fontId="17" fillId="0" borderId="3" xfId="0" applyNumberFormat="1" applyFont="1" applyBorder="1" applyAlignment="1">
      <alignment horizontal="center" vertical="center"/>
    </xf>
    <xf numFmtId="168" fontId="17" fillId="0" borderId="31" xfId="0" applyNumberFormat="1" applyFont="1" applyBorder="1" applyAlignment="1">
      <alignment horizontal="center" vertical="center"/>
    </xf>
    <xf numFmtId="168" fontId="17" fillId="0" borderId="40" xfId="0" applyNumberFormat="1" applyFont="1" applyBorder="1" applyAlignment="1">
      <alignment horizontal="center" vertical="center"/>
    </xf>
    <xf numFmtId="0" fontId="16" fillId="0" borderId="36" xfId="0" applyFont="1" applyBorder="1" applyAlignment="1">
      <alignment vertical="center" wrapText="1"/>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5" fillId="2" borderId="3" xfId="0" applyFont="1" applyFill="1" applyBorder="1" applyAlignment="1">
      <alignment horizontal="center" vertical="center" wrapText="1"/>
    </xf>
    <xf numFmtId="0" fontId="16" fillId="0" borderId="38" xfId="0" applyFont="1" applyBorder="1" applyAlignment="1">
      <alignment horizontal="center" vertical="center"/>
    </xf>
    <xf numFmtId="0" fontId="16" fillId="0" borderId="24" xfId="0" applyFont="1" applyBorder="1" applyAlignment="1">
      <alignment horizontal="center" vertical="center"/>
    </xf>
    <xf numFmtId="0" fontId="16" fillId="0" borderId="22" xfId="0" applyFont="1" applyBorder="1" applyAlignment="1">
      <alignment horizontal="center" vertical="center"/>
    </xf>
    <xf numFmtId="0" fontId="16" fillId="0" borderId="36" xfId="0" applyFont="1" applyBorder="1" applyAlignment="1">
      <alignment horizontal="center" vertical="center"/>
    </xf>
    <xf numFmtId="0" fontId="20" fillId="0" borderId="14" xfId="0" applyFont="1" applyBorder="1" applyAlignment="1">
      <alignment vertical="center" wrapText="1"/>
    </xf>
    <xf numFmtId="0" fontId="4" fillId="0" borderId="0" xfId="0" applyFont="1" applyAlignment="1">
      <alignment horizontal="left"/>
    </xf>
    <xf numFmtId="0" fontId="15" fillId="2" borderId="5" xfId="0" applyFont="1" applyFill="1" applyBorder="1" applyAlignment="1">
      <alignment horizontal="center" vertical="center"/>
    </xf>
    <xf numFmtId="0" fontId="4" fillId="0" borderId="7" xfId="0" applyFont="1" applyBorder="1" applyAlignment="1">
      <alignment horizontal="center" vertical="center"/>
    </xf>
    <xf numFmtId="0" fontId="0" fillId="0" borderId="7" xfId="0" applyBorder="1"/>
    <xf numFmtId="3" fontId="4" fillId="0" borderId="7" xfId="0" applyNumberFormat="1" applyFont="1" applyBorder="1" applyAlignment="1">
      <alignment horizontal="center" vertical="center"/>
    </xf>
    <xf numFmtId="3" fontId="4" fillId="0" borderId="10" xfId="0" applyNumberFormat="1" applyFont="1" applyBorder="1" applyAlignment="1">
      <alignment horizontal="center" vertical="center"/>
    </xf>
    <xf numFmtId="164" fontId="4" fillId="0" borderId="0" xfId="2" applyNumberFormat="1" applyFont="1" applyBorder="1"/>
    <xf numFmtId="170" fontId="4" fillId="0" borderId="0" xfId="2" applyNumberFormat="1" applyFont="1" applyBorder="1" applyAlignment="1">
      <alignment horizontal="right" vertical="center"/>
    </xf>
    <xf numFmtId="171" fontId="4" fillId="0" borderId="0" xfId="2" applyNumberFormat="1" applyFont="1" applyBorder="1" applyAlignment="1">
      <alignment horizontal="right" vertical="center"/>
    </xf>
    <xf numFmtId="164" fontId="4" fillId="0" borderId="0" xfId="2" applyNumberFormat="1" applyFont="1" applyBorder="1" applyAlignment="1">
      <alignment horizontal="center" vertical="center"/>
    </xf>
    <xf numFmtId="1" fontId="4" fillId="0" borderId="42" xfId="0" applyNumberFormat="1" applyFont="1" applyBorder="1" applyAlignment="1">
      <alignment horizontal="right"/>
    </xf>
    <xf numFmtId="44" fontId="4" fillId="0" borderId="0" xfId="3" applyFont="1" applyBorder="1" applyAlignment="1">
      <alignment horizontal="center" vertical="center"/>
    </xf>
    <xf numFmtId="44" fontId="4" fillId="0" borderId="41" xfId="3" applyFont="1" applyBorder="1" applyAlignment="1">
      <alignment horizontal="center" vertical="center"/>
    </xf>
    <xf numFmtId="0" fontId="4" fillId="0" borderId="6" xfId="0" applyFont="1" applyBorder="1"/>
    <xf numFmtId="164" fontId="4" fillId="0" borderId="0" xfId="2" applyNumberFormat="1" applyFont="1" applyBorder="1" applyAlignment="1">
      <alignment horizontal="right" vertical="center"/>
    </xf>
    <xf numFmtId="0" fontId="4" fillId="0" borderId="0" xfId="0" applyFont="1" applyAlignment="1">
      <alignment horizontal="right"/>
    </xf>
    <xf numFmtId="0" fontId="4" fillId="0" borderId="41" xfId="0" applyFont="1" applyBorder="1" applyAlignment="1">
      <alignment horizontal="right"/>
    </xf>
    <xf numFmtId="172" fontId="4" fillId="0" borderId="41" xfId="3" applyNumberFormat="1" applyFont="1" applyBorder="1" applyAlignment="1">
      <alignment horizontal="center" vertical="center"/>
    </xf>
    <xf numFmtId="0" fontId="25" fillId="0" borderId="5" xfId="0" applyFont="1" applyBorder="1" applyAlignment="1">
      <alignment horizontal="left" vertical="center"/>
    </xf>
    <xf numFmtId="44" fontId="4" fillId="0" borderId="0" xfId="3" applyFont="1" applyBorder="1" applyAlignment="1">
      <alignment horizontal="right" vertical="center"/>
    </xf>
    <xf numFmtId="172" fontId="4" fillId="0" borderId="41" xfId="3" applyNumberFormat="1" applyFont="1" applyBorder="1" applyAlignment="1">
      <alignment horizontal="right" vertical="center"/>
    </xf>
    <xf numFmtId="0" fontId="27" fillId="6" borderId="0" xfId="1" applyFont="1" applyFill="1" applyBorder="1" applyAlignment="1">
      <alignment vertical="center"/>
    </xf>
    <xf numFmtId="0" fontId="28" fillId="6" borderId="0" xfId="0" applyFont="1" applyFill="1" applyAlignment="1">
      <alignment vertical="center"/>
    </xf>
    <xf numFmtId="0" fontId="9" fillId="6" borderId="0" xfId="0" applyFont="1" applyFill="1" applyAlignment="1">
      <alignment vertical="center"/>
    </xf>
    <xf numFmtId="0" fontId="28" fillId="6" borderId="3"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2" xfId="0" applyFont="1" applyFill="1" applyBorder="1" applyAlignment="1">
      <alignment horizontal="left" vertical="center" wrapText="1"/>
    </xf>
    <xf numFmtId="0" fontId="28" fillId="6" borderId="3" xfId="0" applyFont="1" applyFill="1" applyBorder="1" applyAlignment="1">
      <alignment horizontal="left" vertical="center" wrapText="1"/>
    </xf>
    <xf numFmtId="44" fontId="28" fillId="6" borderId="4" xfId="3" applyFont="1" applyFill="1" applyBorder="1" applyAlignment="1">
      <alignment horizontal="center" vertical="center" wrapText="1"/>
    </xf>
    <xf numFmtId="44" fontId="28" fillId="6" borderId="5" xfId="3" applyFont="1" applyFill="1" applyBorder="1" applyAlignment="1">
      <alignment horizontal="center" vertical="center" wrapText="1"/>
    </xf>
    <xf numFmtId="165" fontId="4" fillId="0" borderId="0" xfId="2" applyNumberFormat="1" applyFont="1" applyBorder="1" applyAlignment="1">
      <alignment horizontal="right" vertical="center"/>
    </xf>
    <xf numFmtId="0" fontId="29" fillId="6" borderId="5" xfId="0" applyFont="1" applyFill="1" applyBorder="1" applyAlignment="1">
      <alignment horizontal="center" vertical="center"/>
    </xf>
    <xf numFmtId="0" fontId="0" fillId="0" borderId="6" xfId="0" applyBorder="1"/>
    <xf numFmtId="0" fontId="0" fillId="0" borderId="4" xfId="0" applyBorder="1"/>
    <xf numFmtId="0" fontId="0" fillId="0" borderId="4" xfId="0" applyBorder="1" applyAlignment="1">
      <alignment vertical="center"/>
    </xf>
    <xf numFmtId="0" fontId="7" fillId="0" borderId="0" xfId="0" applyFont="1" applyAlignment="1">
      <alignment vertical="center"/>
    </xf>
    <xf numFmtId="0" fontId="31" fillId="0" borderId="0" xfId="0" applyFont="1" applyAlignment="1">
      <alignment horizontal="left" vertical="center"/>
    </xf>
    <xf numFmtId="0" fontId="33" fillId="0" borderId="0" xfId="0" applyFont="1"/>
    <xf numFmtId="0" fontId="30" fillId="0" borderId="0" xfId="0" applyFont="1" applyAlignment="1">
      <alignment wrapText="1"/>
    </xf>
    <xf numFmtId="167" fontId="16" fillId="0" borderId="43" xfId="0" applyNumberFormat="1" applyFont="1" applyBorder="1" applyAlignment="1">
      <alignment horizontal="center" vertical="center" wrapText="1"/>
    </xf>
    <xf numFmtId="167" fontId="16" fillId="0" borderId="44" xfId="0" applyNumberFormat="1" applyFont="1" applyBorder="1" applyAlignment="1">
      <alignment horizontal="center" vertical="center" wrapText="1"/>
    </xf>
    <xf numFmtId="167" fontId="16" fillId="5" borderId="43" xfId="0" applyNumberFormat="1" applyFont="1" applyFill="1" applyBorder="1" applyAlignment="1">
      <alignment horizontal="center" vertical="center" wrapText="1"/>
    </xf>
    <xf numFmtId="0" fontId="16" fillId="0" borderId="5" xfId="0" applyFont="1" applyBorder="1" applyAlignment="1">
      <alignment vertical="center" wrapText="1"/>
    </xf>
    <xf numFmtId="1" fontId="17" fillId="0" borderId="5" xfId="0" applyNumberFormat="1" applyFont="1" applyBorder="1" applyAlignment="1">
      <alignment horizontal="center" vertical="center"/>
    </xf>
    <xf numFmtId="168" fontId="17" fillId="0" borderId="5" xfId="0" applyNumberFormat="1" applyFont="1" applyBorder="1" applyAlignment="1">
      <alignment horizontal="center" vertical="center"/>
    </xf>
    <xf numFmtId="0" fontId="0" fillId="0" borderId="5" xfId="0" applyBorder="1" applyAlignment="1">
      <alignment horizontal="center"/>
    </xf>
    <xf numFmtId="0" fontId="0" fillId="0" borderId="5" xfId="0" applyBorder="1"/>
    <xf numFmtId="0" fontId="16" fillId="0" borderId="5"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horizontal="left" vertical="center" wrapText="1"/>
    </xf>
    <xf numFmtId="168" fontId="21" fillId="0" borderId="5" xfId="0" applyNumberFormat="1" applyFont="1" applyBorder="1" applyAlignment="1">
      <alignment horizontal="center" vertical="center"/>
    </xf>
    <xf numFmtId="169" fontId="21" fillId="0" borderId="5" xfId="0" applyNumberFormat="1" applyFont="1" applyBorder="1" applyAlignment="1">
      <alignment horizontal="center" vertical="center"/>
    </xf>
    <xf numFmtId="0" fontId="23" fillId="5" borderId="0" xfId="1" applyFont="1" applyFill="1" applyBorder="1" applyAlignment="1">
      <alignment vertical="center"/>
    </xf>
    <xf numFmtId="0" fontId="4" fillId="5" borderId="0" xfId="0" applyFont="1" applyFill="1" applyAlignment="1">
      <alignment vertical="center"/>
    </xf>
    <xf numFmtId="0" fontId="0" fillId="5" borderId="0" xfId="0" applyFill="1" applyAlignment="1">
      <alignment vertical="center"/>
    </xf>
    <xf numFmtId="0" fontId="15" fillId="5" borderId="3"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5" xfId="0" applyFont="1" applyFill="1" applyBorder="1" applyAlignment="1">
      <alignment horizontal="center" vertical="center" wrapText="1"/>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44" fontId="15" fillId="5" borderId="4" xfId="3" applyFont="1" applyFill="1" applyBorder="1" applyAlignment="1">
      <alignment horizontal="center" vertical="center" wrapText="1"/>
    </xf>
    <xf numFmtId="44" fontId="15" fillId="5" borderId="5" xfId="3" applyFont="1" applyFill="1" applyBorder="1" applyAlignment="1">
      <alignment horizontal="center" vertical="center" wrapText="1"/>
    </xf>
    <xf numFmtId="0" fontId="31" fillId="0" borderId="0" xfId="0" applyFont="1" applyAlignment="1">
      <alignment vertical="center" wrapText="1"/>
    </xf>
    <xf numFmtId="0" fontId="0" fillId="0" borderId="9" xfId="0" applyBorder="1"/>
    <xf numFmtId="0" fontId="0" fillId="0" borderId="41" xfId="0" applyBorder="1"/>
    <xf numFmtId="0" fontId="0" fillId="0" borderId="10" xfId="0" applyBorder="1"/>
    <xf numFmtId="169" fontId="17" fillId="0" borderId="5" xfId="0" applyNumberFormat="1" applyFont="1" applyBorder="1" applyAlignment="1">
      <alignment horizontal="right" vertical="center"/>
    </xf>
    <xf numFmtId="44" fontId="16" fillId="2" borderId="43" xfId="3" applyFont="1" applyFill="1" applyBorder="1" applyAlignment="1">
      <alignment horizontal="center" vertical="center" wrapText="1"/>
    </xf>
    <xf numFmtId="44" fontId="17" fillId="0" borderId="5" xfId="3" applyFont="1" applyBorder="1" applyAlignment="1">
      <alignment horizontal="center" vertical="center"/>
    </xf>
    <xf numFmtId="44" fontId="21" fillId="0" borderId="5" xfId="3" applyFont="1" applyBorder="1" applyAlignment="1">
      <alignment horizontal="center" vertical="center"/>
    </xf>
    <xf numFmtId="44" fontId="0" fillId="0" borderId="0" xfId="3" applyFont="1"/>
    <xf numFmtId="0" fontId="31" fillId="0" borderId="0" xfId="0" applyFont="1" applyAlignment="1">
      <alignment vertical="center"/>
    </xf>
    <xf numFmtId="0" fontId="35" fillId="3" borderId="36" xfId="0" applyFont="1" applyFill="1" applyBorder="1" applyAlignment="1">
      <alignment horizontal="center" vertical="center"/>
    </xf>
    <xf numFmtId="167" fontId="35" fillId="0" borderId="33" xfId="0" applyNumberFormat="1" applyFont="1" applyBorder="1" applyAlignment="1">
      <alignment horizontal="center" vertical="center" wrapText="1"/>
    </xf>
    <xf numFmtId="167" fontId="35" fillId="0" borderId="36" xfId="0" applyNumberFormat="1" applyFont="1" applyBorder="1" applyAlignment="1">
      <alignment horizontal="center" vertical="center" wrapText="1"/>
    </xf>
    <xf numFmtId="44" fontId="35" fillId="2" borderId="33" xfId="3" applyFont="1" applyFill="1" applyBorder="1" applyAlignment="1">
      <alignment horizontal="center" vertical="center" wrapText="1"/>
    </xf>
    <xf numFmtId="167" fontId="35" fillId="5" borderId="33" xfId="0" applyNumberFormat="1" applyFont="1" applyFill="1" applyBorder="1" applyAlignment="1">
      <alignment horizontal="center" vertical="center" wrapText="1"/>
    </xf>
    <xf numFmtId="167" fontId="35" fillId="0" borderId="56" xfId="0" applyNumberFormat="1" applyFont="1" applyBorder="1" applyAlignment="1">
      <alignment horizontal="center" vertical="center" wrapText="1"/>
    </xf>
    <xf numFmtId="167" fontId="35" fillId="0" borderId="12" xfId="0" applyNumberFormat="1" applyFont="1" applyBorder="1" applyAlignment="1">
      <alignment horizontal="center" vertical="center" wrapText="1"/>
    </xf>
    <xf numFmtId="44" fontId="35" fillId="0" borderId="54" xfId="3" applyFont="1" applyBorder="1" applyAlignment="1">
      <alignment horizontal="center" vertical="center" wrapText="1"/>
    </xf>
    <xf numFmtId="167" fontId="35" fillId="0" borderId="55" xfId="0" applyNumberFormat="1" applyFont="1" applyBorder="1" applyAlignment="1">
      <alignment horizontal="center" vertical="center" wrapText="1"/>
    </xf>
    <xf numFmtId="0" fontId="36" fillId="0" borderId="0" xfId="0" applyFont="1"/>
    <xf numFmtId="0" fontId="35" fillId="0" borderId="14" xfId="0" applyFont="1" applyBorder="1" applyAlignment="1">
      <alignment vertical="center" wrapText="1"/>
    </xf>
    <xf numFmtId="168" fontId="37" fillId="0" borderId="16" xfId="0" applyNumberFormat="1" applyFont="1" applyBorder="1" applyAlignment="1">
      <alignment horizontal="right" vertical="center"/>
    </xf>
    <xf numFmtId="168" fontId="37" fillId="0" borderId="25" xfId="0" applyNumberFormat="1" applyFont="1" applyBorder="1" applyAlignment="1">
      <alignment horizontal="right" vertical="center"/>
    </xf>
    <xf numFmtId="169" fontId="37" fillId="0" borderId="25" xfId="0" applyNumberFormat="1" applyFont="1" applyBorder="1" applyAlignment="1">
      <alignment horizontal="right" vertical="center"/>
    </xf>
    <xf numFmtId="168" fontId="37" fillId="0" borderId="17" xfId="0" applyNumberFormat="1" applyFont="1" applyBorder="1" applyAlignment="1">
      <alignment horizontal="right" vertical="center"/>
    </xf>
    <xf numFmtId="44" fontId="37" fillId="0" borderId="16" xfId="3" applyFont="1" applyBorder="1" applyAlignment="1">
      <alignment horizontal="right" vertical="center"/>
    </xf>
    <xf numFmtId="169" fontId="37" fillId="0" borderId="16" xfId="0" applyNumberFormat="1" applyFont="1" applyBorder="1" applyAlignment="1">
      <alignment horizontal="right" vertical="center"/>
    </xf>
    <xf numFmtId="168" fontId="37" fillId="0" borderId="57" xfId="0" applyNumberFormat="1" applyFont="1" applyBorder="1" applyAlignment="1">
      <alignment horizontal="right" vertical="center"/>
    </xf>
    <xf numFmtId="168" fontId="37" fillId="0" borderId="25" xfId="0" applyNumberFormat="1" applyFont="1" applyBorder="1" applyAlignment="1">
      <alignment horizontal="right"/>
    </xf>
    <xf numFmtId="44" fontId="37" fillId="0" borderId="25" xfId="3" applyFont="1" applyBorder="1" applyAlignment="1">
      <alignment horizontal="right" vertical="center"/>
    </xf>
    <xf numFmtId="44" fontId="37" fillId="0" borderId="49" xfId="0" applyNumberFormat="1" applyFont="1" applyBorder="1" applyAlignment="1">
      <alignment horizontal="right"/>
    </xf>
    <xf numFmtId="0" fontId="35" fillId="0" borderId="26" xfId="0" applyFont="1" applyBorder="1" applyAlignment="1">
      <alignment vertical="center" wrapText="1"/>
    </xf>
    <xf numFmtId="168" fontId="37" fillId="0" borderId="20" xfId="0" applyNumberFormat="1" applyFont="1" applyBorder="1" applyAlignment="1">
      <alignment horizontal="right" vertical="center"/>
    </xf>
    <xf numFmtId="168" fontId="37" fillId="0" borderId="5" xfId="0" applyNumberFormat="1" applyFont="1" applyBorder="1" applyAlignment="1">
      <alignment horizontal="right" vertical="center"/>
    </xf>
    <xf numFmtId="169" fontId="37" fillId="0" borderId="5" xfId="0" applyNumberFormat="1" applyFont="1" applyBorder="1" applyAlignment="1">
      <alignment horizontal="right" vertical="center"/>
    </xf>
    <xf numFmtId="168" fontId="37" fillId="0" borderId="2" xfId="0" applyNumberFormat="1" applyFont="1" applyBorder="1" applyAlignment="1">
      <alignment horizontal="right" vertical="center"/>
    </xf>
    <xf numFmtId="44" fontId="37" fillId="0" borderId="20" xfId="3" applyFont="1" applyBorder="1" applyAlignment="1">
      <alignment horizontal="right" vertical="center"/>
    </xf>
    <xf numFmtId="169" fontId="37" fillId="0" borderId="20" xfId="0" applyNumberFormat="1" applyFont="1" applyBorder="1" applyAlignment="1">
      <alignment horizontal="right" vertical="center"/>
    </xf>
    <xf numFmtId="168" fontId="37" fillId="0" borderId="4" xfId="0" applyNumberFormat="1" applyFont="1" applyBorder="1" applyAlignment="1">
      <alignment horizontal="right" vertical="center"/>
    </xf>
    <xf numFmtId="168" fontId="37" fillId="0" borderId="5" xfId="0" applyNumberFormat="1" applyFont="1" applyBorder="1" applyAlignment="1">
      <alignment horizontal="right"/>
    </xf>
    <xf numFmtId="44" fontId="37" fillId="0" borderId="5" xfId="3" applyFont="1" applyBorder="1" applyAlignment="1">
      <alignment horizontal="right" vertical="center"/>
    </xf>
    <xf numFmtId="44" fontId="37" fillId="0" borderId="50" xfId="0" applyNumberFormat="1" applyFont="1" applyBorder="1" applyAlignment="1">
      <alignment horizontal="right"/>
    </xf>
    <xf numFmtId="0" fontId="35" fillId="0" borderId="26" xfId="0" applyFont="1" applyBorder="1" applyAlignment="1">
      <alignment horizontal="left" vertical="center" wrapText="1"/>
    </xf>
    <xf numFmtId="44" fontId="37" fillId="0" borderId="50" xfId="0" applyNumberFormat="1" applyFont="1" applyBorder="1" applyAlignment="1">
      <alignment horizontal="right" vertical="center"/>
    </xf>
    <xf numFmtId="0" fontId="40" fillId="0" borderId="26" xfId="0" applyFont="1" applyBorder="1" applyAlignment="1">
      <alignment vertical="center" wrapText="1"/>
    </xf>
    <xf numFmtId="0" fontId="40" fillId="0" borderId="26" xfId="0" applyFont="1" applyBorder="1" applyAlignment="1">
      <alignment horizontal="left" vertical="center" wrapText="1"/>
    </xf>
    <xf numFmtId="168" fontId="41" fillId="0" borderId="20" xfId="0" applyNumberFormat="1" applyFont="1" applyBorder="1" applyAlignment="1">
      <alignment horizontal="right" vertical="center"/>
    </xf>
    <xf numFmtId="169" fontId="41" fillId="0" borderId="5" xfId="0" applyNumberFormat="1" applyFont="1" applyBorder="1" applyAlignment="1">
      <alignment horizontal="right" vertical="center"/>
    </xf>
    <xf numFmtId="44" fontId="41" fillId="0" borderId="20" xfId="3" applyFont="1" applyBorder="1" applyAlignment="1">
      <alignment horizontal="right" vertical="center"/>
    </xf>
    <xf numFmtId="0" fontId="35" fillId="0" borderId="27" xfId="0" applyFont="1" applyBorder="1" applyAlignment="1">
      <alignment vertical="center" wrapText="1"/>
    </xf>
    <xf numFmtId="168" fontId="37" fillId="0" borderId="28" xfId="0" applyNumberFormat="1" applyFont="1" applyBorder="1" applyAlignment="1">
      <alignment horizontal="right" vertical="center"/>
    </xf>
    <xf numFmtId="168" fontId="37" fillId="0" borderId="51" xfId="0" applyNumberFormat="1" applyFont="1" applyBorder="1" applyAlignment="1">
      <alignment horizontal="right" vertical="center"/>
    </xf>
    <xf numFmtId="169" fontId="37" fillId="0" borderId="51" xfId="0" applyNumberFormat="1" applyFont="1" applyBorder="1" applyAlignment="1">
      <alignment horizontal="right" vertical="center"/>
    </xf>
    <xf numFmtId="168" fontId="37" fillId="0" borderId="29" xfId="0" applyNumberFormat="1" applyFont="1" applyBorder="1" applyAlignment="1">
      <alignment horizontal="right" vertical="center"/>
    </xf>
    <xf numFmtId="44" fontId="37" fillId="0" borderId="28" xfId="3" applyFont="1" applyBorder="1" applyAlignment="1">
      <alignment horizontal="right" vertical="center"/>
    </xf>
    <xf numFmtId="169" fontId="37" fillId="0" borderId="28" xfId="0" applyNumberFormat="1" applyFont="1" applyBorder="1" applyAlignment="1">
      <alignment horizontal="right" vertical="center"/>
    </xf>
    <xf numFmtId="168" fontId="37" fillId="0" borderId="58" xfId="0" applyNumberFormat="1" applyFont="1" applyBorder="1" applyAlignment="1">
      <alignment horizontal="right" vertical="center"/>
    </xf>
    <xf numFmtId="168" fontId="37" fillId="0" borderId="51" xfId="0" applyNumberFormat="1" applyFont="1" applyBorder="1" applyAlignment="1">
      <alignment horizontal="right"/>
    </xf>
    <xf numFmtId="44" fontId="37" fillId="0" borderId="51" xfId="3" applyFont="1" applyBorder="1" applyAlignment="1">
      <alignment horizontal="right" vertical="center"/>
    </xf>
    <xf numFmtId="44" fontId="37" fillId="0" borderId="52" xfId="0" applyNumberFormat="1" applyFont="1" applyBorder="1" applyAlignment="1">
      <alignment horizontal="right"/>
    </xf>
    <xf numFmtId="0" fontId="37" fillId="0" borderId="0" xfId="0" applyFont="1"/>
    <xf numFmtId="0" fontId="37" fillId="0" borderId="0" xfId="0" applyFont="1" applyAlignment="1">
      <alignment horizontal="right"/>
    </xf>
    <xf numFmtId="44" fontId="37" fillId="0" borderId="0" xfId="3" applyFont="1" applyAlignment="1">
      <alignment horizontal="right"/>
    </xf>
    <xf numFmtId="0" fontId="42" fillId="0" borderId="12" xfId="0" applyFont="1" applyBorder="1" applyAlignment="1">
      <alignment horizontal="center" vertical="center"/>
    </xf>
    <xf numFmtId="0" fontId="37" fillId="0" borderId="32" xfId="0" applyFont="1" applyBorder="1" applyAlignment="1">
      <alignment wrapText="1"/>
    </xf>
    <xf numFmtId="172" fontId="37" fillId="0" borderId="17" xfId="0" applyNumberFormat="1" applyFont="1" applyBorder="1" applyAlignment="1">
      <alignment horizontal="right" vertical="center"/>
    </xf>
    <xf numFmtId="0" fontId="37" fillId="0" borderId="16" xfId="0" applyFont="1" applyBorder="1" applyAlignment="1">
      <alignment horizontal="center" vertical="center"/>
    </xf>
    <xf numFmtId="0" fontId="37" fillId="0" borderId="49" xfId="0" applyFont="1" applyBorder="1" applyAlignment="1">
      <alignment horizontal="center" vertical="center"/>
    </xf>
    <xf numFmtId="0" fontId="37" fillId="0" borderId="26" xfId="0" applyFont="1" applyBorder="1" applyAlignment="1">
      <alignment horizontal="left"/>
    </xf>
    <xf numFmtId="172" fontId="37" fillId="0" borderId="2" xfId="0" applyNumberFormat="1" applyFont="1" applyBorder="1" applyAlignment="1">
      <alignment horizontal="right" vertical="center"/>
    </xf>
    <xf numFmtId="0" fontId="37" fillId="0" borderId="20" xfId="0" applyFont="1" applyBorder="1" applyAlignment="1">
      <alignment horizontal="center" vertical="center"/>
    </xf>
    <xf numFmtId="0" fontId="37" fillId="0" borderId="50" xfId="0" applyFont="1" applyBorder="1" applyAlignment="1">
      <alignment horizontal="center" vertical="center"/>
    </xf>
    <xf numFmtId="0" fontId="37" fillId="0" borderId="26" xfId="0" applyFont="1" applyBorder="1" applyAlignment="1">
      <alignment horizontal="left" wrapText="1"/>
    </xf>
    <xf numFmtId="0" fontId="37" fillId="0" borderId="2" xfId="0" applyFont="1" applyBorder="1" applyAlignment="1">
      <alignment horizontal="center" vertical="center"/>
    </xf>
    <xf numFmtId="173" fontId="37" fillId="0" borderId="50" xfId="0" applyNumberFormat="1" applyFont="1" applyBorder="1" applyAlignment="1">
      <alignment horizontal="right" vertical="center"/>
    </xf>
    <xf numFmtId="0" fontId="37" fillId="0" borderId="27" xfId="0" applyFont="1" applyBorder="1" applyAlignment="1">
      <alignment horizontal="left"/>
    </xf>
    <xf numFmtId="172" fontId="37" fillId="0" borderId="28" xfId="3" applyNumberFormat="1" applyFont="1" applyBorder="1" applyAlignment="1">
      <alignment horizontal="right" vertical="center"/>
    </xf>
    <xf numFmtId="174" fontId="37" fillId="0" borderId="29" xfId="0" applyNumberFormat="1" applyFont="1" applyBorder="1" applyAlignment="1">
      <alignment horizontal="right" vertical="center"/>
    </xf>
    <xf numFmtId="0" fontId="37" fillId="0" borderId="28" xfId="0" applyFont="1" applyBorder="1" applyAlignment="1">
      <alignment horizontal="center" vertical="center"/>
    </xf>
    <xf numFmtId="0" fontId="37" fillId="0" borderId="52" xfId="0" applyFont="1" applyBorder="1" applyAlignment="1">
      <alignment horizontal="center" vertical="center"/>
    </xf>
    <xf numFmtId="0" fontId="43" fillId="4" borderId="33" xfId="0" applyFont="1" applyFill="1" applyBorder="1" applyAlignment="1">
      <alignment horizontal="center" vertical="center" wrapText="1"/>
    </xf>
    <xf numFmtId="0" fontId="43" fillId="4" borderId="34" xfId="0" applyFont="1" applyFill="1" applyBorder="1" applyAlignment="1">
      <alignment horizontal="center"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46" fillId="0" borderId="0" xfId="0" applyFont="1"/>
    <xf numFmtId="1" fontId="15" fillId="2" borderId="2" xfId="0" applyNumberFormat="1" applyFont="1" applyFill="1" applyBorder="1" applyAlignment="1">
      <alignment horizontal="center" vertical="center" wrapText="1"/>
    </xf>
    <xf numFmtId="1" fontId="28" fillId="6" borderId="2" xfId="0" applyNumberFormat="1" applyFont="1" applyFill="1" applyBorder="1" applyAlignment="1">
      <alignment horizontal="center" vertical="center" wrapText="1"/>
    </xf>
    <xf numFmtId="44" fontId="28" fillId="6" borderId="33" xfId="3" applyFont="1" applyFill="1" applyBorder="1" applyAlignment="1">
      <alignment horizontal="center" vertical="center" wrapText="1"/>
    </xf>
    <xf numFmtId="44" fontId="0" fillId="0" borderId="0" xfId="0" applyNumberFormat="1"/>
    <xf numFmtId="1" fontId="15" fillId="5" borderId="2" xfId="0" applyNumberFormat="1" applyFont="1" applyFill="1" applyBorder="1" applyAlignment="1">
      <alignment horizontal="center" vertical="center" wrapText="1"/>
    </xf>
    <xf numFmtId="44" fontId="15" fillId="5" borderId="33" xfId="3" applyFont="1" applyFill="1" applyBorder="1" applyAlignment="1">
      <alignment horizontal="center" vertical="center" wrapText="1"/>
    </xf>
    <xf numFmtId="44" fontId="25" fillId="2" borderId="33" xfId="3" applyFont="1" applyFill="1" applyBorder="1" applyAlignment="1">
      <alignment horizontal="center" vertical="center" wrapText="1"/>
    </xf>
    <xf numFmtId="44" fontId="13" fillId="6" borderId="33" xfId="3" applyFont="1" applyFill="1" applyBorder="1" applyAlignment="1">
      <alignment horizontal="center" vertical="center" wrapText="1"/>
    </xf>
    <xf numFmtId="44" fontId="9" fillId="0" borderId="0" xfId="0" applyNumberFormat="1" applyFont="1"/>
    <xf numFmtId="0" fontId="48" fillId="0" borderId="0" xfId="0" applyFont="1"/>
    <xf numFmtId="0" fontId="49" fillId="0" borderId="0" xfId="0" applyFont="1"/>
    <xf numFmtId="7" fontId="48" fillId="0" borderId="0" xfId="3" applyNumberFormat="1" applyFont="1" applyAlignment="1">
      <alignment horizontal="left"/>
    </xf>
    <xf numFmtId="0" fontId="13" fillId="4" borderId="5" xfId="0" applyFont="1" applyFill="1" applyBorder="1" applyAlignment="1" applyProtection="1">
      <alignment horizontal="center" vertical="center"/>
      <protection locked="0"/>
    </xf>
    <xf numFmtId="3" fontId="13" fillId="4" borderId="5" xfId="0" applyNumberFormat="1" applyFont="1" applyFill="1" applyBorder="1" applyAlignment="1" applyProtection="1">
      <alignment horizontal="center" vertical="center"/>
      <protection locked="0"/>
    </xf>
    <xf numFmtId="0" fontId="7" fillId="0" borderId="9" xfId="0" applyFont="1" applyBorder="1" applyAlignment="1">
      <alignment horizontal="center" vertical="center"/>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30" fillId="0" borderId="0" xfId="0" applyFont="1" applyAlignment="1">
      <alignment horizontal="right" wrapText="1"/>
    </xf>
    <xf numFmtId="0" fontId="7" fillId="0" borderId="47"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pplyAlignment="1">
      <alignment horizontal="center" vertical="center"/>
    </xf>
    <xf numFmtId="0" fontId="13" fillId="4" borderId="2"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4" fillId="0" borderId="6" xfId="0" applyFont="1" applyBorder="1" applyAlignment="1">
      <alignment horizontal="left" wrapText="1"/>
    </xf>
    <xf numFmtId="0" fontId="4" fillId="0" borderId="0" xfId="0" applyFont="1" applyAlignment="1">
      <alignment horizontal="left" wrapText="1"/>
    </xf>
    <xf numFmtId="0" fontId="4" fillId="0" borderId="9" xfId="0" applyFont="1" applyBorder="1" applyAlignment="1">
      <alignment horizontal="left"/>
    </xf>
    <xf numFmtId="0" fontId="4" fillId="0" borderId="41" xfId="0" applyFont="1" applyBorder="1" applyAlignment="1">
      <alignment horizontal="left"/>
    </xf>
    <xf numFmtId="0" fontId="28" fillId="6" borderId="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4" fillId="0" borderId="6" xfId="0" applyFont="1" applyBorder="1" applyAlignment="1">
      <alignment horizontal="left"/>
    </xf>
    <xf numFmtId="0" fontId="4" fillId="0" borderId="0" xfId="0" applyFont="1" applyAlignment="1">
      <alignment horizontal="left"/>
    </xf>
    <xf numFmtId="0" fontId="48" fillId="0" borderId="0" xfId="0" applyFont="1" applyAlignment="1">
      <alignment horizontal="right"/>
    </xf>
    <xf numFmtId="0" fontId="45" fillId="0" borderId="0" xfId="0" applyFont="1" applyAlignment="1">
      <alignment horizontal="left" vertical="center" wrapText="1"/>
    </xf>
    <xf numFmtId="0" fontId="46" fillId="0" borderId="0" xfId="0" applyFont="1" applyAlignment="1">
      <alignment horizontal="left" vertical="center" wrapText="1"/>
    </xf>
    <xf numFmtId="0" fontId="4" fillId="0" borderId="45" xfId="0" applyFont="1" applyBorder="1" applyAlignment="1">
      <alignment horizontal="left"/>
    </xf>
    <xf numFmtId="0" fontId="4" fillId="0" borderId="45" xfId="0" applyFont="1" applyBorder="1" applyAlignment="1">
      <alignment horizontal="left" wrapText="1"/>
    </xf>
    <xf numFmtId="0" fontId="4" fillId="0" borderId="46" xfId="0" applyFont="1" applyBorder="1" applyAlignment="1">
      <alignment horizontal="left"/>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46" fillId="0" borderId="0" xfId="0" applyFont="1" applyAlignment="1">
      <alignment horizontal="left" wrapText="1"/>
    </xf>
    <xf numFmtId="0" fontId="30" fillId="0" borderId="0" xfId="0" applyFont="1" applyAlignment="1">
      <alignment horizontal="center" wrapText="1"/>
    </xf>
    <xf numFmtId="168" fontId="37" fillId="0" borderId="49" xfId="0" applyNumberFormat="1" applyFont="1" applyBorder="1" applyAlignment="1">
      <alignment horizontal="center" vertical="center" wrapText="1"/>
    </xf>
    <xf numFmtId="168" fontId="37" fillId="0" borderId="50" xfId="0" applyNumberFormat="1" applyFont="1" applyBorder="1" applyAlignment="1">
      <alignment horizontal="center" vertical="center" wrapText="1"/>
    </xf>
    <xf numFmtId="168" fontId="37" fillId="0" borderId="52" xfId="0" applyNumberFormat="1" applyFont="1" applyBorder="1" applyAlignment="1">
      <alignment horizontal="center" vertical="center" wrapText="1"/>
    </xf>
    <xf numFmtId="168" fontId="37" fillId="0" borderId="59" xfId="0" applyNumberFormat="1" applyFont="1" applyBorder="1" applyAlignment="1">
      <alignment horizontal="center" vertical="center" wrapText="1"/>
    </xf>
    <xf numFmtId="168" fontId="37" fillId="0" borderId="60" xfId="0" applyNumberFormat="1" applyFont="1" applyBorder="1" applyAlignment="1">
      <alignment horizontal="center" vertical="center" wrapText="1"/>
    </xf>
    <xf numFmtId="168" fontId="37" fillId="0" borderId="53" xfId="0" applyNumberFormat="1" applyFont="1" applyBorder="1" applyAlignment="1">
      <alignment horizontal="center" vertical="center" wrapText="1"/>
    </xf>
  </cellXfs>
  <cellStyles count="5">
    <cellStyle name="Lien hypertexte" xfId="1" builtinId="8"/>
    <cellStyle name="Milliers" xfId="2" builtinId="3"/>
    <cellStyle name="Monétaire" xfId="3" builtinId="4"/>
    <cellStyle name="Normal" xfId="0" builtinId="0"/>
    <cellStyle name="Pourcentage" xfId="4" builtinId="5"/>
  </cellStyles>
  <dxfs count="0"/>
  <tableStyles count="0" defaultTableStyle="TableStyleMedium2" defaultPivotStyle="PivotStyleLight16"/>
  <colors>
    <mruColors>
      <color rgb="FF9E1E71"/>
      <color rgb="FF5FC4E1"/>
      <color rgb="FF006F6B"/>
      <color rgb="FF004155"/>
      <color rgb="FFAFCA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xdr:colOff>
      <xdr:row>0</xdr:row>
      <xdr:rowOff>3</xdr:rowOff>
    </xdr:from>
    <xdr:to>
      <xdr:col>2</xdr:col>
      <xdr:colOff>14949</xdr:colOff>
      <xdr:row>5</xdr:row>
      <xdr:rowOff>95251</xdr:rowOff>
    </xdr:to>
    <xdr:pic>
      <xdr:nvPicPr>
        <xdr:cNvPr id="3" name="Image 2">
          <a:extLst>
            <a:ext uri="{FF2B5EF4-FFF2-40B4-BE49-F238E27FC236}">
              <a16:creationId xmlns:a16="http://schemas.microsoft.com/office/drawing/2014/main" id="{DA12A77E-231B-D86D-F8A3-F99E2EA67257}"/>
            </a:ext>
          </a:extLst>
        </xdr:cNvPr>
        <xdr:cNvPicPr>
          <a:picLocks noChangeAspect="1"/>
        </xdr:cNvPicPr>
      </xdr:nvPicPr>
      <xdr:blipFill>
        <a:blip xmlns:r="http://schemas.openxmlformats.org/officeDocument/2006/relationships" r:embed="rId1"/>
        <a:stretch>
          <a:fillRect/>
        </a:stretch>
      </xdr:blipFill>
      <xdr:spPr>
        <a:xfrm>
          <a:off x="2" y="3"/>
          <a:ext cx="1843747" cy="1276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xdr:colOff>
      <xdr:row>0</xdr:row>
      <xdr:rowOff>3</xdr:rowOff>
    </xdr:from>
    <xdr:to>
      <xdr:col>2</xdr:col>
      <xdr:colOff>14949</xdr:colOff>
      <xdr:row>5</xdr:row>
      <xdr:rowOff>95251</xdr:rowOff>
    </xdr:to>
    <xdr:pic>
      <xdr:nvPicPr>
        <xdr:cNvPr id="2" name="Image 1">
          <a:extLst>
            <a:ext uri="{FF2B5EF4-FFF2-40B4-BE49-F238E27FC236}">
              <a16:creationId xmlns:a16="http://schemas.microsoft.com/office/drawing/2014/main" id="{983D23ED-7B90-4227-A80B-4718ACA33D89}"/>
            </a:ext>
          </a:extLst>
        </xdr:cNvPr>
        <xdr:cNvPicPr>
          <a:picLocks noChangeAspect="1"/>
        </xdr:cNvPicPr>
      </xdr:nvPicPr>
      <xdr:blipFill>
        <a:blip xmlns:r="http://schemas.openxmlformats.org/officeDocument/2006/relationships" r:embed="rId1"/>
        <a:stretch>
          <a:fillRect/>
        </a:stretch>
      </xdr:blipFill>
      <xdr:spPr>
        <a:xfrm>
          <a:off x="409577" y="3"/>
          <a:ext cx="1843747" cy="12763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giedeseaux@ccbugeysud.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egiedeseaux@ccbugeysud.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47EAD-ED73-412B-8375-C9206015E26B}">
  <sheetPr>
    <pageSetUpPr fitToPage="1"/>
  </sheetPr>
  <dimension ref="B1:J65"/>
  <sheetViews>
    <sheetView showGridLines="0" workbookViewId="0">
      <selection activeCell="J23" sqref="J23"/>
    </sheetView>
  </sheetViews>
  <sheetFormatPr baseColWidth="10" defaultRowHeight="15" x14ac:dyDescent="0.25"/>
  <cols>
    <col min="1" max="1" width="9.42578125" customWidth="1"/>
    <col min="2" max="2" width="27.42578125" customWidth="1"/>
    <col min="3" max="3" width="4.5703125" customWidth="1"/>
    <col min="4" max="4" width="7.85546875" customWidth="1"/>
    <col min="5" max="5" width="12" customWidth="1"/>
    <col min="6" max="6" width="11.28515625" customWidth="1"/>
    <col min="7" max="7" width="9.5703125" customWidth="1"/>
    <col min="8" max="8" width="10.5703125" customWidth="1"/>
    <col min="9" max="9" width="13.140625" customWidth="1"/>
    <col min="10" max="10" width="7" customWidth="1"/>
  </cols>
  <sheetData>
    <row r="1" spans="2:10" ht="21" x14ac:dyDescent="0.25">
      <c r="D1" s="251" t="s">
        <v>152</v>
      </c>
      <c r="E1" s="252"/>
      <c r="F1" s="252"/>
      <c r="G1" s="252"/>
      <c r="H1" s="252"/>
      <c r="I1" s="253"/>
    </row>
    <row r="2" spans="2:10" ht="21" x14ac:dyDescent="0.25">
      <c r="D2" s="247" t="s">
        <v>21</v>
      </c>
      <c r="E2" s="248"/>
      <c r="F2" s="248"/>
      <c r="G2" s="248"/>
      <c r="H2" s="248"/>
      <c r="I2" s="249"/>
      <c r="J2" s="121"/>
    </row>
    <row r="3" spans="2:10" ht="21" x14ac:dyDescent="0.25">
      <c r="J3" s="121"/>
    </row>
    <row r="5" spans="2:10" x14ac:dyDescent="0.25">
      <c r="D5" s="104" t="s">
        <v>139</v>
      </c>
      <c r="E5" s="104"/>
      <c r="F5" s="119"/>
      <c r="G5" s="254" t="s">
        <v>61</v>
      </c>
      <c r="H5" s="255"/>
      <c r="I5" s="256"/>
    </row>
    <row r="6" spans="2:10" ht="15.75" thickBot="1" x14ac:dyDescent="0.3">
      <c r="B6" s="3"/>
      <c r="E6" s="21"/>
    </row>
    <row r="7" spans="2:10" ht="15" customHeight="1" x14ac:dyDescent="0.35">
      <c r="B7" s="1" t="s">
        <v>0</v>
      </c>
      <c r="D7" s="230" t="s">
        <v>140</v>
      </c>
      <c r="E7" s="231"/>
      <c r="F7" s="119"/>
      <c r="G7" s="245">
        <v>2</v>
      </c>
    </row>
    <row r="8" spans="2:10" ht="15" customHeight="1" x14ac:dyDescent="0.35">
      <c r="B8" s="2" t="s">
        <v>5</v>
      </c>
      <c r="E8" s="21"/>
      <c r="F8" s="21"/>
      <c r="I8" s="124"/>
    </row>
    <row r="9" spans="2:10" ht="15" customHeight="1" x14ac:dyDescent="0.35">
      <c r="B9" s="2" t="s">
        <v>1</v>
      </c>
      <c r="D9" s="104" t="s">
        <v>141</v>
      </c>
      <c r="E9" s="119"/>
      <c r="F9" s="245" t="s">
        <v>78</v>
      </c>
      <c r="H9" s="104" t="s">
        <v>142</v>
      </c>
      <c r="I9" s="245" t="s">
        <v>77</v>
      </c>
    </row>
    <row r="10" spans="2:10" ht="15" customHeight="1" x14ac:dyDescent="0.35">
      <c r="B10" s="2" t="s">
        <v>6</v>
      </c>
      <c r="E10" s="21"/>
      <c r="F10" s="21"/>
    </row>
    <row r="11" spans="2:10" ht="15" customHeight="1" x14ac:dyDescent="0.35">
      <c r="B11" s="2" t="s">
        <v>2</v>
      </c>
      <c r="D11" s="104" t="s">
        <v>20</v>
      </c>
      <c r="E11" s="104"/>
      <c r="F11" s="245" t="s">
        <v>78</v>
      </c>
      <c r="G11" s="250" t="str">
        <f>IF(I14="pb","Veuillez saisir tous les champs","")</f>
        <v/>
      </c>
      <c r="H11" s="250"/>
      <c r="I11" s="250"/>
    </row>
    <row r="12" spans="2:10" ht="15" customHeight="1" x14ac:dyDescent="0.35">
      <c r="B12" s="2" t="s">
        <v>3</v>
      </c>
      <c r="F12" s="21"/>
      <c r="H12" s="48"/>
    </row>
    <row r="13" spans="2:10" s="4" customFormat="1" ht="15" customHeight="1" thickBot="1" x14ac:dyDescent="0.3">
      <c r="B13" s="5" t="s">
        <v>4</v>
      </c>
      <c r="C13"/>
      <c r="D13" s="104" t="s">
        <v>97</v>
      </c>
      <c r="E13" s="104"/>
      <c r="F13" s="104"/>
      <c r="G13" s="120"/>
      <c r="H13" s="246">
        <v>1598</v>
      </c>
      <c r="I13" s="124"/>
    </row>
    <row r="14" spans="2:10" s="4" customFormat="1" ht="11.25" customHeight="1" x14ac:dyDescent="0.25">
      <c r="B14" s="20"/>
      <c r="C14"/>
      <c r="I14" s="30" t="str">
        <f>IF(OR(G5="",G7="",I9="",F11="",H13="",F9=""),"pb","ok")</f>
        <v>ok</v>
      </c>
    </row>
    <row r="15" spans="2:10" s="4" customFormat="1" x14ac:dyDescent="0.25">
      <c r="B15" s="47" t="s">
        <v>95</v>
      </c>
      <c r="C15" s="24"/>
      <c r="D15" s="23"/>
      <c r="E15" s="23"/>
      <c r="F15" s="23"/>
      <c r="G15" s="23"/>
      <c r="H15" s="23"/>
      <c r="I15" s="23"/>
    </row>
    <row r="16" spans="2:10" ht="5.25" customHeight="1" x14ac:dyDescent="0.25"/>
    <row r="17" spans="2:9" ht="15" customHeight="1" x14ac:dyDescent="0.25">
      <c r="B17" s="263" t="s">
        <v>7</v>
      </c>
      <c r="C17" s="264"/>
      <c r="D17" s="87" t="s">
        <v>8</v>
      </c>
      <c r="E17" s="80" t="s">
        <v>9</v>
      </c>
      <c r="F17" s="25" t="s">
        <v>10</v>
      </c>
      <c r="G17" s="80" t="s">
        <v>11</v>
      </c>
      <c r="H17" s="25" t="s">
        <v>12</v>
      </c>
      <c r="I17" s="25" t="s">
        <v>13</v>
      </c>
    </row>
    <row r="18" spans="2:9" ht="15" customHeight="1" x14ac:dyDescent="0.35">
      <c r="B18" s="6" t="s">
        <v>14</v>
      </c>
      <c r="C18" s="86"/>
      <c r="D18" s="88"/>
      <c r="E18" s="92"/>
      <c r="F18" s="7"/>
      <c r="G18" s="96"/>
      <c r="H18" s="7"/>
      <c r="I18" s="8"/>
    </row>
    <row r="19" spans="2:9" ht="15" customHeight="1" x14ac:dyDescent="0.35">
      <c r="B19" s="9" t="s">
        <v>22</v>
      </c>
      <c r="C19" s="86"/>
      <c r="D19" s="88">
        <f>IF($I$14="pb","-",1)</f>
        <v>1</v>
      </c>
      <c r="E19" s="93">
        <f>IF($I$14="pb","-",IF(I9="Oui",50,250))</f>
        <v>50</v>
      </c>
      <c r="F19" s="10">
        <f>IF($I$14="pb","-",D19*E19)</f>
        <v>50</v>
      </c>
      <c r="G19" s="97">
        <f>IF($I$14="pb","-",F19*H19)</f>
        <v>2.75</v>
      </c>
      <c r="H19" s="11">
        <f>IF($I$14="pb","-",5.5 %)</f>
        <v>5.5E-2</v>
      </c>
      <c r="I19" s="12">
        <f>IF($I$14="pb","-",F19*H19+F19)</f>
        <v>52.75</v>
      </c>
    </row>
    <row r="20" spans="2:9" ht="15" customHeight="1" x14ac:dyDescent="0.35">
      <c r="B20" s="9" t="s">
        <v>79</v>
      </c>
      <c r="C20" s="86"/>
      <c r="D20" s="88">
        <f>IF(OR($I$14="pb",G7=1),"-",G7-1)</f>
        <v>1</v>
      </c>
      <c r="E20" s="93">
        <f>IF(OR($I$14="pb",G7=1),"-",50)</f>
        <v>50</v>
      </c>
      <c r="F20" s="10">
        <f>IF(OR($I$14="pb",G7=1),"-",D20*E20)</f>
        <v>50</v>
      </c>
      <c r="G20" s="97">
        <f>IF(OR($I$14="pb",G7=1),"-",F20*H20)</f>
        <v>2.75</v>
      </c>
      <c r="H20" s="11">
        <f>IF(OR($I$14="pb",G7=1),"-",5.5%)</f>
        <v>5.5E-2</v>
      </c>
      <c r="I20" s="12">
        <f>IF(OR($I$14="pb",G7=1),"-",F20*H20+F20)</f>
        <v>52.75</v>
      </c>
    </row>
    <row r="21" spans="2:9" ht="15" customHeight="1" x14ac:dyDescent="0.35">
      <c r="B21" s="9" t="s">
        <v>15</v>
      </c>
      <c r="C21" s="86"/>
      <c r="D21" s="90">
        <f>IF($I$14="pb","-",$H$13)</f>
        <v>1598</v>
      </c>
      <c r="E21" s="116">
        <f>IF($I$14="pb","-",VLOOKUP(G5,'Tarif EAU'!A:H,6,FALSE))</f>
        <v>1.38</v>
      </c>
      <c r="F21" s="10">
        <f>IF($I$14="pb","-",D21*E21)</f>
        <v>2205.2399999999998</v>
      </c>
      <c r="G21" s="97">
        <f>IF($I$14="pb","-",F21*H21)</f>
        <v>121.28819999999999</v>
      </c>
      <c r="H21" s="11">
        <f>IF($I$14="pb","-",5.5%)</f>
        <v>5.5E-2</v>
      </c>
      <c r="I21" s="12">
        <f>IF($I$14="pb","-",F21*H21+F21)</f>
        <v>2326.5281999999997</v>
      </c>
    </row>
    <row r="22" spans="2:9" ht="6.75" customHeight="1" x14ac:dyDescent="0.25">
      <c r="B22" s="118"/>
      <c r="D22" s="89"/>
      <c r="F22" s="89"/>
      <c r="H22" s="89"/>
      <c r="I22" s="89"/>
    </row>
    <row r="23" spans="2:9" ht="15" customHeight="1" x14ac:dyDescent="0.35">
      <c r="B23" s="13" t="s">
        <v>16</v>
      </c>
      <c r="C23" s="86"/>
      <c r="D23" s="88"/>
      <c r="E23" s="95"/>
      <c r="F23" s="10"/>
      <c r="G23" s="97"/>
      <c r="H23" s="14"/>
      <c r="I23" s="12"/>
    </row>
    <row r="24" spans="2:9" ht="15" customHeight="1" x14ac:dyDescent="0.35">
      <c r="B24" s="9" t="s">
        <v>23</v>
      </c>
      <c r="C24" s="86"/>
      <c r="D24" s="88" t="str">
        <f>IF(OR($I$14="pb",$F$11="Non"),"-",G7)</f>
        <v>-</v>
      </c>
      <c r="E24" s="94" t="str">
        <f>IF(OR($I$14="pb",$F$11="Non"),"-",VLOOKUP(G5,'Tarif AST'!A:D,4,FALSE))</f>
        <v>-</v>
      </c>
      <c r="F24" s="10" t="str">
        <f>IF(OR($I$14="pb",$F$11="Non",E24="ANC"),"-",D24*E24)</f>
        <v>-</v>
      </c>
      <c r="G24" s="97" t="str">
        <f>IF(OR($I$14="pb",$F$11="Non",E24="ANC"),"-",F24*H24)</f>
        <v>-</v>
      </c>
      <c r="H24" s="14" t="str">
        <f>IF(OR($I$14="pb",$F$11="Non"),"-",10%)</f>
        <v>-</v>
      </c>
      <c r="I24" s="12" t="str">
        <f>IF(OR($I$14="pb",$F$11="Non",E24="ANC"),"-",F24*H24+F24)</f>
        <v>-</v>
      </c>
    </row>
    <row r="25" spans="2:9" ht="15" customHeight="1" x14ac:dyDescent="0.35">
      <c r="B25" s="9" t="s">
        <v>17</v>
      </c>
      <c r="C25" s="86"/>
      <c r="D25" s="90" t="str">
        <f>IF(OR($I$14="pb",$F$11="Non"),"-",$H$13)</f>
        <v>-</v>
      </c>
      <c r="E25" s="100" t="str">
        <f>IF(OR($I$14="pb",$F$11="Non"),"-",VLOOKUP(G5,'Tarif AST'!A:D,3,FALSE))</f>
        <v>-</v>
      </c>
      <c r="F25" s="10" t="str">
        <f>IF(OR($I$14="pb",$F$11="Non",E25="ANC"),"-",D25*E25)</f>
        <v>-</v>
      </c>
      <c r="G25" s="97" t="str">
        <f>IF(OR($I$14="pb",$F$11="Non",E25="ANC"),"-",F25*H25)</f>
        <v>-</v>
      </c>
      <c r="H25" s="14" t="str">
        <f>IF(OR($I$14="pb",$F$11="Non"),"-",10%)</f>
        <v>-</v>
      </c>
      <c r="I25" s="12" t="str">
        <f>IF(OR($I$14="pb",$F$11="Non",E25="ANC"),"-",F25*H25+F25)</f>
        <v>-</v>
      </c>
    </row>
    <row r="26" spans="2:9" ht="6.75" customHeight="1" x14ac:dyDescent="0.25">
      <c r="B26" s="149"/>
      <c r="C26" s="150"/>
      <c r="D26" s="151"/>
      <c r="E26" s="150"/>
      <c r="F26" s="151"/>
      <c r="G26" s="150"/>
      <c r="H26" s="151"/>
      <c r="I26" s="151"/>
    </row>
    <row r="27" spans="2:9" ht="15" customHeight="1" x14ac:dyDescent="0.35">
      <c r="B27" s="13" t="s">
        <v>89</v>
      </c>
      <c r="C27" s="86"/>
      <c r="D27" s="88"/>
      <c r="E27" s="95"/>
      <c r="F27" s="10"/>
      <c r="G27" s="97"/>
      <c r="H27" s="14"/>
      <c r="I27" s="12"/>
    </row>
    <row r="28" spans="2:9" ht="28.5" customHeight="1" x14ac:dyDescent="0.35">
      <c r="B28" s="257" t="str">
        <f>'Tarif EAU'!P2</f>
        <v>Redevance consommation eau potable (Agence de l'eau)</v>
      </c>
      <c r="C28" s="258"/>
      <c r="D28" s="90">
        <f>IF(OR($I$14="pb",F9="Oui"),"-",$H$13)</f>
        <v>1598</v>
      </c>
      <c r="E28" s="105">
        <f>IF(OR($I$14="pb",F9="Oui"),"-",'Tarif EAU'!Q2)</f>
        <v>0.43</v>
      </c>
      <c r="F28" s="10">
        <f>IF(OR($I$14="pb",F9="Oui"),"-",D28*E28)</f>
        <v>687.14</v>
      </c>
      <c r="G28" s="97">
        <f>IF(OR($I$14="pb",F9="Oui"),"-",F28*H28)</f>
        <v>37.792699999999996</v>
      </c>
      <c r="H28" s="11">
        <f>IF(OR($I$14="pb",F9="Oui"),"-",5.5%)</f>
        <v>5.5E-2</v>
      </c>
      <c r="I28" s="12">
        <f>IF(OR($I$14="pb",F9="Oui"),"-",F28*H28+F28)</f>
        <v>724.93269999999995</v>
      </c>
    </row>
    <row r="29" spans="2:9" ht="15" customHeight="1" x14ac:dyDescent="0.35">
      <c r="B29" s="265" t="str">
        <f>'Tarif EAU'!P3</f>
        <v>Performance des réseaux d'eau potable</v>
      </c>
      <c r="C29" s="266"/>
      <c r="D29" s="90">
        <f>IF($I$14="pb","-",$H$13)</f>
        <v>1598</v>
      </c>
      <c r="E29" s="105">
        <f>IF($I$14="pb","-",'Tarif EAU'!Q3)</f>
        <v>0.01</v>
      </c>
      <c r="F29" s="10">
        <f>IF($I$14="pb","-",D29*E29)</f>
        <v>15.98</v>
      </c>
      <c r="G29" s="97">
        <f>IF($I$14="pb","-",F29*H29)</f>
        <v>0.87890000000000001</v>
      </c>
      <c r="H29" s="11">
        <f>IF($I$14="pb","-",5.5%)</f>
        <v>5.5E-2</v>
      </c>
      <c r="I29" s="12">
        <f>IF($I$14="pb","-",F29*H29+F29)</f>
        <v>16.858900000000002</v>
      </c>
    </row>
    <row r="30" spans="2:9" ht="28.5" customHeight="1" x14ac:dyDescent="0.35">
      <c r="B30" s="257" t="str">
        <f>'Tarif EAU'!P4</f>
        <v>Performance des systèmes d'assainissement collectif</v>
      </c>
      <c r="C30" s="258"/>
      <c r="D30" s="90" t="str">
        <f>IF(OR($I$14="pb",$F$11="Non",E24="ANC"),"-",$H$13)</f>
        <v>-</v>
      </c>
      <c r="E30" s="105" t="str">
        <f>IF(OR($I$14="pb",$F$11="Non",E24="ANC"),"-",'Tarif EAU'!Q4)</f>
        <v>-</v>
      </c>
      <c r="F30" s="10" t="str">
        <f>IF(OR($I$14="pb",$F$11="Non",E24="ANC"),"-",D30*E30)</f>
        <v>-</v>
      </c>
      <c r="G30" s="97" t="str">
        <f>IF(OR($I$14="pb",$F$11="Non",E24="ANC"),"-",F30*H30)</f>
        <v>-</v>
      </c>
      <c r="H30" s="11" t="str">
        <f>IF(OR($I$14="pb",$F$11="Non"),"-",10%)</f>
        <v>-</v>
      </c>
      <c r="I30" s="12" t="str">
        <f>IF(OR($I$14="pb",$F$11="Non",E24="ANC"),"-",F30*H30+F30)</f>
        <v>-</v>
      </c>
    </row>
    <row r="31" spans="2:9" ht="15" customHeight="1" x14ac:dyDescent="0.35">
      <c r="B31" s="259" t="str">
        <f>'Tarif EAU'!P5</f>
        <v>Prélèvement ressource en eau</v>
      </c>
      <c r="C31" s="260"/>
      <c r="D31" s="91">
        <f>IF($I$14="pb","-",$H$13)</f>
        <v>1598</v>
      </c>
      <c r="E31" s="106">
        <f>IF($I$14="pb","-",'Tarif EAU'!Q5)</f>
        <v>4.6600000000000003E-2</v>
      </c>
      <c r="F31" s="16">
        <f>IF($I$14="pb","-",D31*E31)</f>
        <v>74.466800000000006</v>
      </c>
      <c r="G31" s="98">
        <f>IF($I$14="pb","-",F31*H31)</f>
        <v>4.0956740000000007</v>
      </c>
      <c r="H31" s="17">
        <f>IF($I$14="pb","-",5.5%)</f>
        <v>5.5E-2</v>
      </c>
      <c r="I31" s="18">
        <f>IF($I$14="pb","-",F31*H31+F31)</f>
        <v>78.562474000000009</v>
      </c>
    </row>
    <row r="32" spans="2:9" ht="5.25" customHeight="1" thickBot="1" x14ac:dyDescent="0.4">
      <c r="B32" s="2"/>
      <c r="C32" s="2"/>
      <c r="D32" s="2"/>
      <c r="E32" s="19"/>
      <c r="F32" s="19"/>
      <c r="G32" s="19"/>
      <c r="H32" s="19"/>
      <c r="I32" s="19"/>
    </row>
    <row r="33" spans="2:9" ht="15.75" thickBot="1" x14ac:dyDescent="0.3">
      <c r="B33" s="26" t="s">
        <v>18</v>
      </c>
      <c r="C33" s="27"/>
      <c r="D33" s="27"/>
      <c r="E33" s="28"/>
      <c r="F33" s="29">
        <f>SUM(F19:F31)</f>
        <v>3082.8267999999998</v>
      </c>
      <c r="G33" s="29">
        <f>SUM(G19:G31)</f>
        <v>169.55547399999998</v>
      </c>
      <c r="H33" s="233"/>
      <c r="I33" s="239">
        <f>SUM(I18:I31)</f>
        <v>3252.3822739999996</v>
      </c>
    </row>
    <row r="35" spans="2:9" x14ac:dyDescent="0.25">
      <c r="B35" s="107" t="s">
        <v>148</v>
      </c>
      <c r="C35" s="108"/>
      <c r="D35" s="109"/>
      <c r="E35" s="109"/>
      <c r="F35" s="109"/>
      <c r="G35" s="109"/>
      <c r="H35" s="109"/>
      <c r="I35" s="109"/>
    </row>
    <row r="36" spans="2:9" ht="4.5" customHeight="1" x14ac:dyDescent="0.25"/>
    <row r="37" spans="2:9" ht="15" customHeight="1" x14ac:dyDescent="0.25">
      <c r="B37" s="261" t="s">
        <v>7</v>
      </c>
      <c r="C37" s="262"/>
      <c r="D37" s="117" t="s">
        <v>8</v>
      </c>
      <c r="E37" s="110" t="s">
        <v>9</v>
      </c>
      <c r="F37" s="111" t="s">
        <v>10</v>
      </c>
      <c r="G37" s="110" t="s">
        <v>11</v>
      </c>
      <c r="H37" s="111" t="s">
        <v>12</v>
      </c>
      <c r="I37" s="111" t="s">
        <v>13</v>
      </c>
    </row>
    <row r="38" spans="2:9" ht="15" customHeight="1" x14ac:dyDescent="0.35">
      <c r="B38" s="6" t="s">
        <v>14</v>
      </c>
      <c r="C38" s="86"/>
      <c r="D38" s="88"/>
      <c r="E38" s="92"/>
      <c r="F38" s="7"/>
      <c r="G38" s="96"/>
      <c r="H38" s="7"/>
      <c r="I38" s="8"/>
    </row>
    <row r="39" spans="2:9" ht="15" customHeight="1" x14ac:dyDescent="0.35">
      <c r="B39" s="9" t="s">
        <v>22</v>
      </c>
      <c r="C39" s="86"/>
      <c r="D39" s="88">
        <f>IF($I$14="pb","-",G7)</f>
        <v>2</v>
      </c>
      <c r="E39" s="116">
        <f>IF($I$14="pb","-",VLOOKUP(G5,'Tarif EAU'!A:H,4,FALSE))</f>
        <v>25</v>
      </c>
      <c r="F39" s="10">
        <f>IF($I$14="pb","-",D39*E39)</f>
        <v>50</v>
      </c>
      <c r="G39" s="97">
        <f>IF($I$14="pb","-",F39*H39)</f>
        <v>2.75</v>
      </c>
      <c r="H39" s="11">
        <f>IF($I$14="pb","-",5.5%)</f>
        <v>5.5E-2</v>
      </c>
      <c r="I39" s="12">
        <f>IF($I$14="pb","-",F39*H39+F39)</f>
        <v>52.75</v>
      </c>
    </row>
    <row r="40" spans="2:9" ht="15" customHeight="1" x14ac:dyDescent="0.35">
      <c r="B40" s="9" t="s">
        <v>15</v>
      </c>
      <c r="C40" s="86"/>
      <c r="D40" s="90">
        <f>IF($I$14="pb","-",$H$13)</f>
        <v>1598</v>
      </c>
      <c r="E40" s="94">
        <f>IF($I$14="pb","-",VLOOKUP(G5,'Tarif EAU'!A:H,3,FALSE))</f>
        <v>2.407</v>
      </c>
      <c r="F40" s="10">
        <f>IF($I$14="pb","-",D40*E40)</f>
        <v>3846.386</v>
      </c>
      <c r="G40" s="97">
        <f>IF($I$14="pb","-",F40*H40)</f>
        <v>211.55123</v>
      </c>
      <c r="H40" s="11">
        <f>IF($I$14="pb","-",5.5%)</f>
        <v>5.5E-2</v>
      </c>
      <c r="I40" s="12">
        <f>IF($I$14="pb","-",F40*H40+F40)</f>
        <v>4057.93723</v>
      </c>
    </row>
    <row r="41" spans="2:9" ht="6.75" customHeight="1" x14ac:dyDescent="0.25">
      <c r="B41" s="118"/>
      <c r="D41" s="89"/>
      <c r="F41" s="89"/>
      <c r="H41" s="89"/>
      <c r="I41" s="89"/>
    </row>
    <row r="42" spans="2:9" ht="15" customHeight="1" x14ac:dyDescent="0.35">
      <c r="B42" s="13" t="s">
        <v>16</v>
      </c>
      <c r="C42" s="86"/>
      <c r="D42" s="88"/>
      <c r="E42" s="95"/>
      <c r="F42" s="10"/>
      <c r="G42" s="97"/>
      <c r="H42" s="14"/>
      <c r="I42" s="12"/>
    </row>
    <row r="43" spans="2:9" ht="15" customHeight="1" x14ac:dyDescent="0.35">
      <c r="B43" s="9" t="s">
        <v>23</v>
      </c>
      <c r="C43" s="86"/>
      <c r="D43" s="88" t="str">
        <f>IF(OR($I$14="pb",$F$11="Non"),"-",G7)</f>
        <v>-</v>
      </c>
      <c r="E43" s="116" t="str">
        <f>IF(OR($I$14="pb",$F$11="Non"),"-",VLOOKUP(G5,'Tarif AST'!A:D,4,FALSE))</f>
        <v>-</v>
      </c>
      <c r="F43" s="10" t="str">
        <f>IF(OR($I$14="pb",$F$11="Non",E43="ANC"),"-",D43*E43)</f>
        <v>-</v>
      </c>
      <c r="G43" s="97" t="str">
        <f>IF(OR($I$14="pb",$F$11="Non",E43="ANC"),"-",F43*H43)</f>
        <v>-</v>
      </c>
      <c r="H43" s="14" t="str">
        <f>IF(OR($I$14="pb",$F$11="Non"),"-",10%)</f>
        <v>-</v>
      </c>
      <c r="I43" s="12" t="str">
        <f>IF(OR($I$14="pb",$F$11="Non",E43="ANC"),"-",F43*H43+F43)</f>
        <v>-</v>
      </c>
    </row>
    <row r="44" spans="2:9" ht="15" customHeight="1" x14ac:dyDescent="0.35">
      <c r="B44" s="9" t="s">
        <v>17</v>
      </c>
      <c r="C44" s="86"/>
      <c r="D44" s="90" t="str">
        <f>IF(OR($I$14="pb",$F$11="Non"),"-",$H$13)</f>
        <v>-</v>
      </c>
      <c r="E44" s="100" t="str">
        <f>IF(OR($I$14="pb",$F$11="Non"),"-",VLOOKUP(G5,'Tarif AST'!A:D,3,FALSE))</f>
        <v>-</v>
      </c>
      <c r="F44" s="10" t="str">
        <f>IF(OR($I$14="pb",$F$11="Non",E44="ANC"),"-",D44*E44)</f>
        <v>-</v>
      </c>
      <c r="G44" s="97" t="str">
        <f>IF(OR($I$14="pb",$F$11="Non",E44="ANC"),"-",F44*H44)</f>
        <v>-</v>
      </c>
      <c r="H44" s="14" t="str">
        <f>IF(OR($I$14="pb",$F$11="Non"),"-",10%)</f>
        <v>-</v>
      </c>
      <c r="I44" s="12" t="str">
        <f>IF(OR($I$14="pb",$F$11="Non",E44="ANC"),"-",F44*H44+F44)</f>
        <v>-</v>
      </c>
    </row>
    <row r="45" spans="2:9" ht="6.75" customHeight="1" x14ac:dyDescent="0.25">
      <c r="B45" s="149"/>
      <c r="C45" s="150"/>
      <c r="D45" s="151"/>
      <c r="E45" s="150"/>
      <c r="F45" s="151"/>
      <c r="G45" s="150"/>
      <c r="H45" s="151"/>
      <c r="I45" s="151"/>
    </row>
    <row r="46" spans="2:9" ht="15" customHeight="1" x14ac:dyDescent="0.35">
      <c r="B46" s="13" t="s">
        <v>89</v>
      </c>
      <c r="C46" s="86"/>
      <c r="D46" s="88"/>
      <c r="E46" s="95"/>
      <c r="F46" s="10"/>
      <c r="G46" s="97"/>
      <c r="H46" s="14"/>
      <c r="I46" s="12"/>
    </row>
    <row r="47" spans="2:9" ht="28.5" customHeight="1" x14ac:dyDescent="0.35">
      <c r="B47" s="257" t="str">
        <f>B28</f>
        <v>Redevance consommation eau potable (Agence de l'eau)</v>
      </c>
      <c r="C47" s="258"/>
      <c r="D47" s="90">
        <f>IF(OR($I$14="pb",F9="Oui"),"-",$H$13)</f>
        <v>1598</v>
      </c>
      <c r="E47" s="97">
        <f>IF(OR($I$14="pb",F9="Oui"),"-",'Tarif EAU'!Q2)</f>
        <v>0.43</v>
      </c>
      <c r="F47" s="10">
        <f>IF(OR($I$14="pb",F9="Oui"),"-",D47*E47)</f>
        <v>687.14</v>
      </c>
      <c r="G47" s="97">
        <f>IF(OR($I$14="pb",F9="Oui"),"-",F47*H47)</f>
        <v>37.792699999999996</v>
      </c>
      <c r="H47" s="11">
        <f>IF(OR($I$14="pb",F9="Oui"),"-",5.5%)</f>
        <v>5.5E-2</v>
      </c>
      <c r="I47" s="12">
        <f>IF(OR($I$14="pb",F9="Oui"),"-",F47*H47+F47)</f>
        <v>724.93269999999995</v>
      </c>
    </row>
    <row r="48" spans="2:9" ht="15" customHeight="1" x14ac:dyDescent="0.35">
      <c r="B48" s="265" t="str">
        <f t="shared" ref="B48:B49" si="0">B29</f>
        <v>Performance des réseaux d'eau potable</v>
      </c>
      <c r="C48" s="266"/>
      <c r="D48" s="90">
        <f>IF($I$14="pb","-",$H$13)</f>
        <v>1598</v>
      </c>
      <c r="E48" s="97">
        <f>IF($I$14="pb","-",'Tarif EAU'!Q3)</f>
        <v>0.01</v>
      </c>
      <c r="F48" s="10">
        <f>IF($I$14="pb","-",D48*E48)</f>
        <v>15.98</v>
      </c>
      <c r="G48" s="97">
        <f>IF($I$14="pb","-",F48*H48)</f>
        <v>0.87890000000000001</v>
      </c>
      <c r="H48" s="11">
        <f>IF($I$14="pb","-",5.5%)</f>
        <v>5.5E-2</v>
      </c>
      <c r="I48" s="12">
        <f>IF($I$14="pb","-",F48*H48+F48)</f>
        <v>16.858900000000002</v>
      </c>
    </row>
    <row r="49" spans="2:9" ht="28.5" customHeight="1" x14ac:dyDescent="0.35">
      <c r="B49" s="257" t="str">
        <f t="shared" si="0"/>
        <v>Performance des systèmes d'assainissement collectif</v>
      </c>
      <c r="C49" s="258"/>
      <c r="D49" s="90" t="str">
        <f>IF(OR($I$14="pb",$F$11="Non",E43="ANC"),"-",$H$13)</f>
        <v>-</v>
      </c>
      <c r="E49" s="97" t="str">
        <f>IF(OR($I$14="pb",$F$11="Non",E43="ANC"),"-",'Tarif EAU'!Q4)</f>
        <v>-</v>
      </c>
      <c r="F49" s="10" t="str">
        <f>IF(OR($I$14="pb",$F$11="Non",E43="ANC"),"-",D49*E49)</f>
        <v>-</v>
      </c>
      <c r="G49" s="97" t="str">
        <f>IF(OR($I$14="pb",$F$11="Non",E43="ANC"),"-",F49*H49)</f>
        <v>-</v>
      </c>
      <c r="H49" s="11" t="str">
        <f>IF(OR($I$14="pb",$F$11="Non"),"-",10%)</f>
        <v>-</v>
      </c>
      <c r="I49" s="12" t="str">
        <f>IF(OR($I$14="pb",$F$11="Non",E43="ANC"),"-",F49*H49+F49)</f>
        <v>-</v>
      </c>
    </row>
    <row r="50" spans="2:9" ht="15" customHeight="1" x14ac:dyDescent="0.35">
      <c r="B50" s="259" t="str">
        <f>B31</f>
        <v>Prélèvement ressource en eau</v>
      </c>
      <c r="C50" s="260"/>
      <c r="D50" s="91">
        <f>IF($I$14="pb","-",$H$13)</f>
        <v>1598</v>
      </c>
      <c r="E50" s="103">
        <f>IF($I$14="pb","-",'Tarif EAU'!Q5)</f>
        <v>4.6600000000000003E-2</v>
      </c>
      <c r="F50" s="16">
        <f>IF($I$14="pb","-",D50*E50)</f>
        <v>74.466800000000006</v>
      </c>
      <c r="G50" s="98">
        <f>IF($I$14="pb","-",F50*H50)</f>
        <v>4.0956740000000007</v>
      </c>
      <c r="H50" s="17">
        <f>IF($I$14="pb","-",5.5%)</f>
        <v>5.5E-2</v>
      </c>
      <c r="I50" s="18">
        <f>IF($I$14="pb","-",F50*H50+F50)</f>
        <v>78.562474000000009</v>
      </c>
    </row>
    <row r="51" spans="2:9" ht="5.25" customHeight="1" thickBot="1" x14ac:dyDescent="0.4">
      <c r="B51" s="2"/>
      <c r="C51" s="2"/>
      <c r="D51" s="2"/>
      <c r="E51" s="19"/>
      <c r="F51" s="19"/>
      <c r="G51" s="19"/>
      <c r="H51" s="19"/>
      <c r="I51" s="19"/>
    </row>
    <row r="52" spans="2:9" ht="15.75" thickBot="1" x14ac:dyDescent="0.3">
      <c r="B52" s="112" t="s">
        <v>18</v>
      </c>
      <c r="C52" s="113"/>
      <c r="D52" s="113"/>
      <c r="E52" s="114"/>
      <c r="F52" s="115">
        <f>SUM(F39:F50)</f>
        <v>4673.9727999999996</v>
      </c>
      <c r="G52" s="115">
        <f>SUM(G39:G50)</f>
        <v>257.06850399999996</v>
      </c>
      <c r="H52" s="234"/>
      <c r="I52" s="240">
        <f>SUM(I38:I50)</f>
        <v>4931.0413040000003</v>
      </c>
    </row>
    <row r="53" spans="2:9" ht="7.5" customHeight="1" x14ac:dyDescent="0.25"/>
    <row r="54" spans="2:9" ht="22.5" customHeight="1" x14ac:dyDescent="0.25">
      <c r="B54" s="268" t="s">
        <v>144</v>
      </c>
      <c r="C54" s="268"/>
      <c r="D54" s="268"/>
      <c r="E54" s="268"/>
      <c r="F54" s="268"/>
      <c r="G54" s="268"/>
      <c r="H54" s="268"/>
      <c r="I54" s="268"/>
    </row>
    <row r="55" spans="2:9" ht="6.75" customHeight="1" x14ac:dyDescent="0.25">
      <c r="C55" s="123"/>
      <c r="D55" s="123"/>
      <c r="E55" s="123"/>
      <c r="F55" s="123"/>
      <c r="G55" s="123"/>
      <c r="H55" s="123"/>
      <c r="I55" s="123"/>
    </row>
    <row r="56" spans="2:9" ht="12" customHeight="1" x14ac:dyDescent="0.3">
      <c r="B56" s="232" t="s">
        <v>143</v>
      </c>
      <c r="C56" s="123"/>
      <c r="D56" s="123"/>
      <c r="E56" s="123"/>
      <c r="F56" s="123"/>
      <c r="G56" s="123"/>
      <c r="H56" s="123"/>
      <c r="I56" s="123"/>
    </row>
    <row r="57" spans="2:9" ht="12" customHeight="1" x14ac:dyDescent="0.3">
      <c r="B57" s="232" t="s">
        <v>145</v>
      </c>
    </row>
    <row r="58" spans="2:9" ht="12" customHeight="1" x14ac:dyDescent="0.3">
      <c r="B58" s="232" t="s">
        <v>146</v>
      </c>
      <c r="I58" s="236"/>
    </row>
    <row r="59" spans="2:9" ht="12" customHeight="1" x14ac:dyDescent="0.3">
      <c r="B59" s="232" t="s">
        <v>147</v>
      </c>
    </row>
    <row r="60" spans="2:9" ht="24" customHeight="1" x14ac:dyDescent="0.25">
      <c r="B60" s="269" t="s">
        <v>153</v>
      </c>
      <c r="C60" s="269"/>
      <c r="D60" s="269"/>
      <c r="E60" s="269"/>
      <c r="F60" s="269"/>
      <c r="G60" s="269"/>
      <c r="H60" s="269"/>
      <c r="I60" s="269"/>
    </row>
    <row r="61" spans="2:9" ht="5.25" customHeight="1" x14ac:dyDescent="0.25"/>
    <row r="62" spans="2:9" ht="13.5" customHeight="1" x14ac:dyDescent="0.25">
      <c r="B62" s="242" t="str">
        <f>IF(I14="pb","","Au regard des éléments saisis, il apparait préférable d'opter pour un tarif "&amp;IF(I33&gt;I52,"domestiques ou assimilés. ","""agriculteurs""."))</f>
        <v>Au regard des éléments saisis, il apparait préférable d'opter pour un tarif "agriculteurs".</v>
      </c>
      <c r="C62" s="243"/>
      <c r="D62" s="243"/>
      <c r="E62" s="243"/>
    </row>
    <row r="63" spans="2:9" ht="13.5" customHeight="1" x14ac:dyDescent="0.25">
      <c r="B63" s="267" t="str">
        <f>IF(I14="pb","",IF(I33&gt;I52,"","Ce tarif permet de réduire votre facture de "))</f>
        <v xml:space="preserve">Ce tarif permet de réduire votre facture de </v>
      </c>
      <c r="C63" s="267"/>
      <c r="D63" s="267"/>
      <c r="E63" s="244">
        <f>IF(I14="pb","",IF(I33&gt;I52,"",I52-I33))</f>
        <v>1678.6590300000007</v>
      </c>
      <c r="F63" s="241"/>
    </row>
    <row r="64" spans="2:9" ht="4.5" customHeight="1" x14ac:dyDescent="0.25"/>
    <row r="65" spans="2:2" ht="12" customHeight="1" x14ac:dyDescent="0.25">
      <c r="B65" s="122" t="s">
        <v>96</v>
      </c>
    </row>
  </sheetData>
  <mergeCells count="17">
    <mergeCell ref="B63:D63"/>
    <mergeCell ref="B54:I54"/>
    <mergeCell ref="B47:C47"/>
    <mergeCell ref="B48:C48"/>
    <mergeCell ref="B49:C49"/>
    <mergeCell ref="B50:C50"/>
    <mergeCell ref="B60:I60"/>
    <mergeCell ref="B31:C31"/>
    <mergeCell ref="B37:C37"/>
    <mergeCell ref="B17:C17"/>
    <mergeCell ref="B28:C28"/>
    <mergeCell ref="B29:C29"/>
    <mergeCell ref="D2:I2"/>
    <mergeCell ref="G11:I11"/>
    <mergeCell ref="D1:I1"/>
    <mergeCell ref="G5:I5"/>
    <mergeCell ref="B30:C30"/>
  </mergeCells>
  <phoneticPr fontId="6" type="noConversion"/>
  <dataValidations count="2">
    <dataValidation type="whole" allowBlank="1" showInputMessage="1" showErrorMessage="1" error="Saisir un nombre entre 1 et 20" sqref="G7" xr:uid="{A9F77577-BFCA-4CAA-AE22-37ADCA39F577}">
      <formula1>1</formula1>
      <formula2>20</formula2>
    </dataValidation>
    <dataValidation type="whole" operator="greaterThanOrEqual" allowBlank="1" showInputMessage="1" showErrorMessage="1" error="Saisir la consommation en m3" sqref="H13" xr:uid="{79469B86-1927-44D2-8F99-762D9CF47331}">
      <formula1>1</formula1>
    </dataValidation>
  </dataValidations>
  <hyperlinks>
    <hyperlink ref="B13" r:id="rId1" xr:uid="{247D9CAF-4DCF-4201-8628-1E18D6D7C011}"/>
  </hyperlinks>
  <pageMargins left="0.25" right="0.25" top="0.75" bottom="0.75" header="0.3" footer="0.3"/>
  <pageSetup paperSize="9" scale="77" orientation="portrait" r:id="rId2"/>
  <ignoredErrors>
    <ignoredError sqref="I20 F20:H20 H30 H49" 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error="Choisir Oui ou Non" xr:uid="{93BC6723-2E2D-46B6-8E83-E5D213D1F324}">
          <x14:formula1>
            <xm:f>'Tarif EAU'!$T$2:$T$3</xm:f>
          </x14:formula1>
          <xm:sqref>I9</xm:sqref>
        </x14:dataValidation>
        <x14:dataValidation type="list" allowBlank="1" showInputMessage="1" showErrorMessage="1" error="Choisir Oui ou Non_x000a_" xr:uid="{20FD732A-37FF-41B0-BE15-A25278283094}">
          <x14:formula1>
            <xm:f>'Tarif EAU'!$T$2:$T$3</xm:f>
          </x14:formula1>
          <xm:sqref>F11 F9</xm:sqref>
        </x14:dataValidation>
        <x14:dataValidation type="list" allowBlank="1" showInputMessage="1" showErrorMessage="1" error="La commune du lieu déservi n'est pas valide" xr:uid="{460BE5B9-4326-4A70-90C3-ED14005B98DA}">
          <x14:formula1>
            <xm:f>'Tarif EAU'!$A$2:$A$42</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C5937-47B9-4DF8-8073-E49E80604AAD}">
  <sheetPr>
    <pageSetUpPr fitToPage="1"/>
  </sheetPr>
  <dimension ref="B1:J65"/>
  <sheetViews>
    <sheetView showGridLines="0" tabSelected="1" topLeftCell="A5" zoomScaleNormal="100" workbookViewId="0">
      <selection activeCell="G5" sqref="G5:I5"/>
    </sheetView>
  </sheetViews>
  <sheetFormatPr baseColWidth="10" defaultRowHeight="15" x14ac:dyDescent="0.25"/>
  <cols>
    <col min="1" max="1" width="9.42578125" customWidth="1"/>
    <col min="2" max="2" width="27.42578125" customWidth="1"/>
    <col min="3" max="3" width="5.42578125" customWidth="1"/>
    <col min="4" max="4" width="8.5703125" customWidth="1"/>
    <col min="5" max="5" width="10.5703125" customWidth="1"/>
    <col min="6" max="6" width="10.42578125" customWidth="1"/>
    <col min="7" max="7" width="9.5703125" customWidth="1"/>
    <col min="8" max="8" width="10.5703125" customWidth="1"/>
    <col min="9" max="9" width="13.140625" customWidth="1"/>
    <col min="10" max="10" width="5.28515625" customWidth="1"/>
  </cols>
  <sheetData>
    <row r="1" spans="2:10" ht="21" x14ac:dyDescent="0.25">
      <c r="D1" s="251" t="s">
        <v>154</v>
      </c>
      <c r="E1" s="252"/>
      <c r="F1" s="252"/>
      <c r="G1" s="252"/>
      <c r="H1" s="252"/>
      <c r="I1" s="253"/>
    </row>
    <row r="2" spans="2:10" ht="21" x14ac:dyDescent="0.25">
      <c r="D2" s="247" t="s">
        <v>21</v>
      </c>
      <c r="E2" s="248"/>
      <c r="F2" s="248"/>
      <c r="G2" s="248"/>
      <c r="H2" s="248"/>
      <c r="I2" s="249"/>
      <c r="J2" s="121"/>
    </row>
    <row r="3" spans="2:10" ht="21" x14ac:dyDescent="0.25">
      <c r="J3" s="121"/>
    </row>
    <row r="5" spans="2:10" x14ac:dyDescent="0.25">
      <c r="D5" s="104" t="s">
        <v>19</v>
      </c>
      <c r="E5" s="104"/>
      <c r="F5" s="119"/>
      <c r="G5" s="254"/>
      <c r="H5" s="255"/>
      <c r="I5" s="256"/>
    </row>
    <row r="6" spans="2:10" ht="15.75" thickBot="1" x14ac:dyDescent="0.3">
      <c r="B6" s="3"/>
      <c r="E6" s="21"/>
    </row>
    <row r="7" spans="2:10" ht="15" customHeight="1" x14ac:dyDescent="0.35">
      <c r="B7" s="1" t="s">
        <v>0</v>
      </c>
      <c r="D7" s="104" t="s">
        <v>99</v>
      </c>
      <c r="E7" s="104"/>
      <c r="F7" s="119"/>
      <c r="G7" s="245"/>
    </row>
    <row r="8" spans="2:10" ht="15" customHeight="1" x14ac:dyDescent="0.35">
      <c r="B8" s="2" t="s">
        <v>5</v>
      </c>
      <c r="E8" s="21"/>
      <c r="F8" s="21"/>
      <c r="I8" s="276" t="str">
        <f>IF(I14="pb","Veuillez saisir tous les champs","")</f>
        <v>Veuillez saisir tous les champs</v>
      </c>
    </row>
    <row r="9" spans="2:10" ht="15" customHeight="1" x14ac:dyDescent="0.35">
      <c r="B9" s="2" t="s">
        <v>1</v>
      </c>
      <c r="D9" s="104" t="s">
        <v>100</v>
      </c>
      <c r="E9" s="104"/>
      <c r="F9" s="119"/>
      <c r="G9" s="245"/>
      <c r="I9" s="276"/>
    </row>
    <row r="10" spans="2:10" ht="15" customHeight="1" x14ac:dyDescent="0.35">
      <c r="B10" s="2" t="s">
        <v>6</v>
      </c>
      <c r="E10" s="21"/>
      <c r="F10" s="21"/>
      <c r="I10" s="276"/>
      <c r="J10" s="124"/>
    </row>
    <row r="11" spans="2:10" ht="15" customHeight="1" x14ac:dyDescent="0.35">
      <c r="B11" s="2" t="s">
        <v>2</v>
      </c>
      <c r="D11" s="104" t="s">
        <v>20</v>
      </c>
      <c r="E11" s="104"/>
      <c r="F11" s="245"/>
    </row>
    <row r="12" spans="2:10" ht="15" customHeight="1" x14ac:dyDescent="0.35">
      <c r="B12" s="2" t="s">
        <v>3</v>
      </c>
      <c r="F12" s="21"/>
      <c r="H12" s="48"/>
    </row>
    <row r="13" spans="2:10" s="4" customFormat="1" ht="15" customHeight="1" thickBot="1" x14ac:dyDescent="0.3">
      <c r="B13" s="5" t="s">
        <v>4</v>
      </c>
      <c r="C13"/>
      <c r="D13" s="104" t="s">
        <v>97</v>
      </c>
      <c r="E13" s="104"/>
      <c r="F13" s="104"/>
      <c r="G13" s="120"/>
      <c r="H13" s="246"/>
      <c r="I13" s="124"/>
    </row>
    <row r="14" spans="2:10" s="4" customFormat="1" ht="9.75" customHeight="1" x14ac:dyDescent="0.25">
      <c r="B14" s="20"/>
      <c r="C14"/>
      <c r="I14" s="30" t="str">
        <f>IF(OR(G5="",G7="",G9="",F11="",H13="",G7+G9=0),"pb","ok")</f>
        <v>pb</v>
      </c>
    </row>
    <row r="15" spans="2:10" s="4" customFormat="1" x14ac:dyDescent="0.25">
      <c r="B15" s="138" t="s">
        <v>98</v>
      </c>
      <c r="C15" s="139"/>
      <c r="D15" s="140"/>
      <c r="E15" s="140"/>
      <c r="F15" s="140"/>
      <c r="G15" s="140"/>
      <c r="H15" s="140"/>
      <c r="I15" s="140"/>
    </row>
    <row r="16" spans="2:10" ht="6.75" customHeight="1" x14ac:dyDescent="0.25"/>
    <row r="17" spans="2:9" ht="15" customHeight="1" x14ac:dyDescent="0.25">
      <c r="B17" s="273" t="s">
        <v>7</v>
      </c>
      <c r="C17" s="274"/>
      <c r="D17" s="142" t="s">
        <v>8</v>
      </c>
      <c r="E17" s="141" t="s">
        <v>9</v>
      </c>
      <c r="F17" s="143" t="s">
        <v>10</v>
      </c>
      <c r="G17" s="141" t="s">
        <v>11</v>
      </c>
      <c r="H17" s="143" t="s">
        <v>12</v>
      </c>
      <c r="I17" s="143" t="s">
        <v>13</v>
      </c>
    </row>
    <row r="18" spans="2:9" ht="15" customHeight="1" x14ac:dyDescent="0.35">
      <c r="B18" s="6" t="s">
        <v>14</v>
      </c>
      <c r="C18" s="86"/>
      <c r="D18" s="88"/>
      <c r="E18" s="92"/>
      <c r="F18" s="7"/>
      <c r="G18" s="96"/>
      <c r="H18" s="7"/>
      <c r="I18" s="8"/>
    </row>
    <row r="19" spans="2:9" ht="15" customHeight="1" x14ac:dyDescent="0.35">
      <c r="B19" s="9" t="s">
        <v>101</v>
      </c>
      <c r="C19" s="86"/>
      <c r="D19" s="88" t="str">
        <f>IF($I$14="pb","-",G7)</f>
        <v>-</v>
      </c>
      <c r="E19" s="93" t="str">
        <f>IF($I$14="pb","-",100)</f>
        <v>-</v>
      </c>
      <c r="F19" s="10" t="str">
        <f>IF($I$14="pb","-",D19*E19)</f>
        <v>-</v>
      </c>
      <c r="G19" s="97" t="str">
        <f>IF($I$14="pb","-",F19*H19)</f>
        <v>-</v>
      </c>
      <c r="H19" s="11" t="str">
        <f>IF($I$14="pb","-",5.5 %)</f>
        <v>-</v>
      </c>
      <c r="I19" s="12" t="str">
        <f>IF($I$14="pb","-",F19*H19+F19)</f>
        <v>-</v>
      </c>
    </row>
    <row r="20" spans="2:9" ht="15" customHeight="1" x14ac:dyDescent="0.35">
      <c r="B20" s="9" t="s">
        <v>102</v>
      </c>
      <c r="C20" s="86"/>
      <c r="D20" s="88" t="str">
        <f>IF($I$14="pb","-",G9)</f>
        <v>-</v>
      </c>
      <c r="E20" s="93" t="str">
        <f>IF($I$14="pb","-",1500)</f>
        <v>-</v>
      </c>
      <c r="F20" s="10" t="str">
        <f>IF($I$14="pb","-",D20*E20)</f>
        <v>-</v>
      </c>
      <c r="G20" s="97" t="str">
        <f>IF($I$14="pb","-",F20*H20)</f>
        <v>-</v>
      </c>
      <c r="H20" s="11" t="str">
        <f>IF($I$14="pb","-",5.5 %)</f>
        <v>-</v>
      </c>
      <c r="I20" s="12" t="str">
        <f>IF($I$14="pb","-",F20*H20+F20)</f>
        <v>-</v>
      </c>
    </row>
    <row r="21" spans="2:9" ht="15" customHeight="1" x14ac:dyDescent="0.35">
      <c r="B21" s="9" t="s">
        <v>15</v>
      </c>
      <c r="C21" s="86"/>
      <c r="D21" s="90" t="str">
        <f>IF($I$14="pb","-",$H$13)</f>
        <v>-</v>
      </c>
      <c r="E21" s="116" t="str">
        <f>IF($I$14="pb","-",VLOOKUP(G5,'Tarif EAU'!A:H,8,FALSE))</f>
        <v>-</v>
      </c>
      <c r="F21" s="10" t="str">
        <f>IF($I$14="pb","-",D21*E21)</f>
        <v>-</v>
      </c>
      <c r="G21" s="97" t="str">
        <f>IF($I$14="pb","-",F21*H21)</f>
        <v>-</v>
      </c>
      <c r="H21" s="11" t="str">
        <f>IF($I$14="pb","-",5.5%)</f>
        <v>-</v>
      </c>
      <c r="I21" s="12" t="str">
        <f>IF($I$14="pb","-",F21*H21+F21)</f>
        <v>-</v>
      </c>
    </row>
    <row r="22" spans="2:9" ht="6.75" customHeight="1" x14ac:dyDescent="0.25">
      <c r="B22" s="118"/>
      <c r="D22" s="89"/>
      <c r="F22" s="89"/>
      <c r="H22" s="89"/>
      <c r="I22" s="89"/>
    </row>
    <row r="23" spans="2:9" ht="15" customHeight="1" x14ac:dyDescent="0.35">
      <c r="B23" s="13" t="s">
        <v>16</v>
      </c>
      <c r="C23" s="86"/>
      <c r="D23" s="88"/>
      <c r="E23" s="95"/>
      <c r="F23" s="10"/>
      <c r="G23" s="97"/>
      <c r="H23" s="14"/>
      <c r="I23" s="12"/>
    </row>
    <row r="24" spans="2:9" ht="15" customHeight="1" x14ac:dyDescent="0.35">
      <c r="B24" s="9" t="s">
        <v>23</v>
      </c>
      <c r="C24" s="86"/>
      <c r="D24" s="88" t="str">
        <f>IF(OR($I$14="pb",$F$11="Non"),"-",G7+G9)</f>
        <v>-</v>
      </c>
      <c r="E24" s="94" t="str">
        <f>IF(OR($I$14="pb",$F$11="Non"),"-",VLOOKUP(G5,'Tarif AST'!A:D,4,FALSE))</f>
        <v>-</v>
      </c>
      <c r="F24" s="10" t="str">
        <f>IF(OR($I$14="pb",$F$11="Non",E24="ANC"),"-",D24*E24)</f>
        <v>-</v>
      </c>
      <c r="G24" s="97" t="str">
        <f>IF(OR($I$14="pb",$F$11="Non",E24="ANC"),"-",F24*H24)</f>
        <v>-</v>
      </c>
      <c r="H24" s="14" t="str">
        <f>IF(OR($I$14="pb",$F$11="Non"),"-",10%)</f>
        <v>-</v>
      </c>
      <c r="I24" s="12" t="str">
        <f>IF(OR($I$14="pb",$F$11="Non",E24="ANC"),"-",F24*H24+F24)</f>
        <v>-</v>
      </c>
    </row>
    <row r="25" spans="2:9" ht="15" customHeight="1" x14ac:dyDescent="0.35">
      <c r="B25" s="9" t="s">
        <v>17</v>
      </c>
      <c r="C25" s="86"/>
      <c r="D25" s="90" t="str">
        <f>IF(OR($I$14="pb",$F$11="Non"),"-",$H$13)</f>
        <v>-</v>
      </c>
      <c r="E25" s="100" t="str">
        <f>IF(OR($I$14="pb",$F$11="Non"),"-",VLOOKUP(G5,'Tarif AST'!A:D,3,FALSE))</f>
        <v>-</v>
      </c>
      <c r="F25" s="10" t="str">
        <f>IF(OR($I$14="pb",$F$11="Non",E25="ANC"),"-",D25*E25)</f>
        <v>-</v>
      </c>
      <c r="G25" s="97" t="str">
        <f>IF(OR($I$14="pb",$F$11="Non",E25="ANC"),"-",F25*H25)</f>
        <v>-</v>
      </c>
      <c r="H25" s="14" t="str">
        <f>IF(OR($I$14="pb",$F$11="Non"),"-",10%)</f>
        <v>-</v>
      </c>
      <c r="I25" s="12" t="str">
        <f>IF(OR($I$14="pb",$F$11="Non",E25="ANC"),"-",F25*H25+F25)</f>
        <v>-</v>
      </c>
    </row>
    <row r="26" spans="2:9" ht="6.75" customHeight="1" x14ac:dyDescent="0.25">
      <c r="B26" s="149"/>
      <c r="C26" s="150"/>
      <c r="D26" s="151"/>
      <c r="E26" s="150"/>
      <c r="F26" s="151"/>
      <c r="G26" s="150"/>
      <c r="H26" s="151"/>
      <c r="I26" s="151"/>
    </row>
    <row r="27" spans="2:9" ht="15" customHeight="1" x14ac:dyDescent="0.35">
      <c r="B27" s="13" t="s">
        <v>89</v>
      </c>
      <c r="C27" s="86"/>
      <c r="D27" s="88"/>
      <c r="E27" s="95"/>
      <c r="F27" s="10"/>
      <c r="G27" s="97"/>
      <c r="H27" s="14"/>
      <c r="I27" s="12"/>
    </row>
    <row r="28" spans="2:9" ht="28.5" customHeight="1" x14ac:dyDescent="0.35">
      <c r="B28" s="257" t="str">
        <f>'Tarif EAU'!P2</f>
        <v>Redevance consommation eau potable (Agence de l'eau)</v>
      </c>
      <c r="C28" s="271"/>
      <c r="D28" s="90" t="str">
        <f>IF($I$14="pb","-",$H$13)</f>
        <v>-</v>
      </c>
      <c r="E28" s="105" t="str">
        <f>IF($I$14="pb","-",'Tarif EAU'!Q2)</f>
        <v>-</v>
      </c>
      <c r="F28" s="10" t="str">
        <f>IF($I$14="pb","-",D28*E28)</f>
        <v>-</v>
      </c>
      <c r="G28" s="97" t="str">
        <f>IF($I$14="pb","-",F28*H28)</f>
        <v>-</v>
      </c>
      <c r="H28" s="11" t="str">
        <f>IF($I$14="pb","-",5.5%)</f>
        <v>-</v>
      </c>
      <c r="I28" s="12" t="str">
        <f>IF($I$14="pb","-",F28*H28+F28)</f>
        <v>-</v>
      </c>
    </row>
    <row r="29" spans="2:9" ht="15" customHeight="1" x14ac:dyDescent="0.35">
      <c r="B29" s="265" t="str">
        <f>'Tarif EAU'!P3</f>
        <v>Performance des réseaux d'eau potable</v>
      </c>
      <c r="C29" s="270"/>
      <c r="D29" s="90" t="str">
        <f>IF($I$14="pb","-",$H$13)</f>
        <v>-</v>
      </c>
      <c r="E29" s="105" t="str">
        <f>IF($I$14="pb","-",'Tarif EAU'!Q3)</f>
        <v>-</v>
      </c>
      <c r="F29" s="10" t="str">
        <f>IF($I$14="pb","-",D29*E29)</f>
        <v>-</v>
      </c>
      <c r="G29" s="97" t="str">
        <f>IF($I$14="pb","-",F29*H29)</f>
        <v>-</v>
      </c>
      <c r="H29" s="11" t="str">
        <f>IF($I$14="pb","-",5.5%)</f>
        <v>-</v>
      </c>
      <c r="I29" s="12" t="str">
        <f>IF($I$14="pb","-",F29*H29+F29)</f>
        <v>-</v>
      </c>
    </row>
    <row r="30" spans="2:9" ht="28.5" customHeight="1" x14ac:dyDescent="0.35">
      <c r="B30" s="257" t="str">
        <f>'Tarif EAU'!P4</f>
        <v>Performance des systèmes d'assainissement collectif</v>
      </c>
      <c r="C30" s="271"/>
      <c r="D30" s="90" t="str">
        <f>IF(OR($I$14="pb",$F$11="Non",E24="ANC"),"-",$H$13)</f>
        <v>-</v>
      </c>
      <c r="E30" s="105" t="str">
        <f>IF(OR($I$14="pb",$F$11="Non",E24="ANC"),"-",'Tarif EAU'!Q4)</f>
        <v>-</v>
      </c>
      <c r="F30" s="10" t="str">
        <f>IF(OR($I$14="pb",$F$11="Non",E24="ANC"),"-",D30*E30)</f>
        <v>-</v>
      </c>
      <c r="G30" s="97" t="str">
        <f>IF(OR($I$14="pb",$F$11="Non",E24="ANC"),"-",F30*H30)</f>
        <v>-</v>
      </c>
      <c r="H30" s="11" t="str">
        <f>IF(OR($I$14="pb",$F$11="Non"),"-",10%)</f>
        <v>-</v>
      </c>
      <c r="I30" s="12" t="str">
        <f>IF(OR($I$14="pb",$F$11="Non",E24="ANC"),"-",F30*H30+F30)</f>
        <v>-</v>
      </c>
    </row>
    <row r="31" spans="2:9" ht="15" customHeight="1" x14ac:dyDescent="0.35">
      <c r="B31" s="259" t="str">
        <f>'Tarif EAU'!P5</f>
        <v>Prélèvement ressource en eau</v>
      </c>
      <c r="C31" s="272"/>
      <c r="D31" s="91" t="str">
        <f>IF($I$14="pb","-",$H$13)</f>
        <v>-</v>
      </c>
      <c r="E31" s="106" t="str">
        <f>IF($I$14="pb","-",'Tarif EAU'!Q5)</f>
        <v>-</v>
      </c>
      <c r="F31" s="16" t="str">
        <f>IF($I$14="pb","-",D31*E31)</f>
        <v>-</v>
      </c>
      <c r="G31" s="98" t="str">
        <f>IF($I$14="pb","-",F31*H31)</f>
        <v>-</v>
      </c>
      <c r="H31" s="17" t="str">
        <f>IF($I$14="pb","-",5.5%)</f>
        <v>-</v>
      </c>
      <c r="I31" s="18" t="str">
        <f>IF($I$14="pb","-",F31*H31+F31)</f>
        <v>-</v>
      </c>
    </row>
    <row r="32" spans="2:9" ht="6.75" customHeight="1" thickBot="1" x14ac:dyDescent="0.4">
      <c r="B32" s="2"/>
      <c r="C32" s="2"/>
      <c r="D32" s="2"/>
      <c r="E32" s="19"/>
      <c r="F32" s="19"/>
      <c r="G32" s="19"/>
      <c r="H32" s="19"/>
      <c r="I32" s="19"/>
    </row>
    <row r="33" spans="2:9" ht="15.75" thickBot="1" x14ac:dyDescent="0.3">
      <c r="B33" s="144" t="s">
        <v>18</v>
      </c>
      <c r="C33" s="145"/>
      <c r="D33" s="145"/>
      <c r="E33" s="146"/>
      <c r="F33" s="147">
        <f>SUM(F19:F31)</f>
        <v>0</v>
      </c>
      <c r="G33" s="147">
        <f>SUM(G19:G31)</f>
        <v>0</v>
      </c>
      <c r="H33" s="237"/>
      <c r="I33" s="238">
        <f>SUM(I18:I31)</f>
        <v>0</v>
      </c>
    </row>
    <row r="35" spans="2:9" x14ac:dyDescent="0.25">
      <c r="B35" s="107" t="s">
        <v>149</v>
      </c>
      <c r="C35" s="108"/>
      <c r="D35" s="109"/>
      <c r="E35" s="109"/>
      <c r="F35" s="109"/>
      <c r="G35" s="109"/>
      <c r="H35" s="109"/>
      <c r="I35" s="109"/>
    </row>
    <row r="36" spans="2:9" ht="6.75" customHeight="1" x14ac:dyDescent="0.25"/>
    <row r="37" spans="2:9" ht="15" customHeight="1" x14ac:dyDescent="0.25">
      <c r="B37" s="261" t="s">
        <v>7</v>
      </c>
      <c r="C37" s="262"/>
      <c r="D37" s="117" t="s">
        <v>8</v>
      </c>
      <c r="E37" s="110" t="s">
        <v>9</v>
      </c>
      <c r="F37" s="111" t="s">
        <v>10</v>
      </c>
      <c r="G37" s="110" t="s">
        <v>11</v>
      </c>
      <c r="H37" s="111" t="s">
        <v>12</v>
      </c>
      <c r="I37" s="111" t="s">
        <v>13</v>
      </c>
    </row>
    <row r="38" spans="2:9" ht="15" customHeight="1" x14ac:dyDescent="0.35">
      <c r="B38" s="6" t="s">
        <v>14</v>
      </c>
      <c r="C38" s="86"/>
      <c r="D38" s="88"/>
      <c r="E38" s="92"/>
      <c r="F38" s="7"/>
      <c r="G38" s="96"/>
      <c r="H38" s="7"/>
      <c r="I38" s="8"/>
    </row>
    <row r="39" spans="2:9" ht="15" customHeight="1" x14ac:dyDescent="0.35">
      <c r="B39" s="9" t="s">
        <v>22</v>
      </c>
      <c r="C39" s="86"/>
      <c r="D39" s="88" t="str">
        <f>IF($I$14="pb","-",G7+G9)</f>
        <v>-</v>
      </c>
      <c r="E39" s="116" t="str">
        <f>IF($I$14="pb","-",VLOOKUP(G5,'Tarif EAU'!A:H,4,FALSE))</f>
        <v>-</v>
      </c>
      <c r="F39" s="10" t="str">
        <f>IF($I$14="pb","-",D39*E39)</f>
        <v>-</v>
      </c>
      <c r="G39" s="97" t="str">
        <f>IF($I$14="pb","-",F39*H39)</f>
        <v>-</v>
      </c>
      <c r="H39" s="11" t="str">
        <f>IF($I$14="pb","-",5.5%)</f>
        <v>-</v>
      </c>
      <c r="I39" s="12" t="str">
        <f>IF($I$14="pb","-",F39*H39+F39)</f>
        <v>-</v>
      </c>
    </row>
    <row r="40" spans="2:9" ht="15" customHeight="1" x14ac:dyDescent="0.35">
      <c r="B40" s="9" t="s">
        <v>15</v>
      </c>
      <c r="C40" s="86"/>
      <c r="D40" s="90" t="str">
        <f>IF($I$14="pb","-",$H$13)</f>
        <v>-</v>
      </c>
      <c r="E40" s="94" t="str">
        <f>IF($I$14="pb","-",VLOOKUP(G5,'Tarif EAU'!A:H,3,FALSE))</f>
        <v>-</v>
      </c>
      <c r="F40" s="10" t="str">
        <f>IF($I$14="pb","-",D40*E40)</f>
        <v>-</v>
      </c>
      <c r="G40" s="97" t="str">
        <f>IF($I$14="pb","-",F40*H40)</f>
        <v>-</v>
      </c>
      <c r="H40" s="11" t="str">
        <f>IF($I$14="pb","-",5.5%)</f>
        <v>-</v>
      </c>
      <c r="I40" s="12" t="str">
        <f>IF($I$14="pb","-",F40*H40+F40)</f>
        <v>-</v>
      </c>
    </row>
    <row r="41" spans="2:9" ht="6.75" customHeight="1" x14ac:dyDescent="0.25">
      <c r="B41" s="118"/>
      <c r="D41" s="89"/>
      <c r="F41" s="89"/>
      <c r="H41" s="89"/>
      <c r="I41" s="89"/>
    </row>
    <row r="42" spans="2:9" ht="15" customHeight="1" x14ac:dyDescent="0.35">
      <c r="B42" s="13" t="s">
        <v>16</v>
      </c>
      <c r="C42" s="86"/>
      <c r="D42" s="88"/>
      <c r="E42" s="95"/>
      <c r="F42" s="10"/>
      <c r="G42" s="97"/>
      <c r="H42" s="14"/>
      <c r="I42" s="12"/>
    </row>
    <row r="43" spans="2:9" ht="15" customHeight="1" x14ac:dyDescent="0.35">
      <c r="B43" s="9" t="s">
        <v>23</v>
      </c>
      <c r="C43" s="86"/>
      <c r="D43" s="88" t="str">
        <f>IF(OR($I$14="pb",$F$11="Non"),"-",G7+G9)</f>
        <v>-</v>
      </c>
      <c r="E43" s="116" t="str">
        <f>IF(OR($I$14="pb",$F$11="Non"),"-",VLOOKUP(G5,'Tarif AST'!A:D,4,FALSE))</f>
        <v>-</v>
      </c>
      <c r="F43" s="10" t="str">
        <f>IF(OR($I$14="pb",$F$11="Non",E43="ANC"),"-",D43*E43)</f>
        <v>-</v>
      </c>
      <c r="G43" s="97" t="str">
        <f>IF(OR($I$14="pb",$F$11="Non",E43="ANC"),"-",F43*H43)</f>
        <v>-</v>
      </c>
      <c r="H43" s="14" t="str">
        <f>IF(OR($I$14="pb",$F$11="Non"),"-",10%)</f>
        <v>-</v>
      </c>
      <c r="I43" s="12" t="str">
        <f>IF(OR($I$14="pb",$F$11="Non",E43="ANC"),"-",F43*H43+F43)</f>
        <v>-</v>
      </c>
    </row>
    <row r="44" spans="2:9" ht="15" customHeight="1" x14ac:dyDescent="0.35">
      <c r="B44" s="9" t="s">
        <v>17</v>
      </c>
      <c r="C44" s="86"/>
      <c r="D44" s="90" t="str">
        <f>IF(OR($I$14="pb",$F$11="Non"),"-",$H$13)</f>
        <v>-</v>
      </c>
      <c r="E44" s="100" t="str">
        <f>IF(OR($I$14="pb",$F$11="Non"),"-",VLOOKUP(G5,'Tarif AST'!A:D,3,FALSE))</f>
        <v>-</v>
      </c>
      <c r="F44" s="10" t="str">
        <f>IF(OR($I$14="pb",$F$11="Non",E44="ANC"),"-",D44*E44)</f>
        <v>-</v>
      </c>
      <c r="G44" s="97" t="str">
        <f>IF(OR($I$14="pb",$F$11="Non",E44="ANC"),"-",F44*H44)</f>
        <v>-</v>
      </c>
      <c r="H44" s="14" t="str">
        <f>IF(OR($I$14="pb",$F$11="Non"),"-",10%)</f>
        <v>-</v>
      </c>
      <c r="I44" s="12" t="str">
        <f>IF(OR($I$14="pb",$F$11="Non",E44="ANC"),"-",F44*H44+F44)</f>
        <v>-</v>
      </c>
    </row>
    <row r="45" spans="2:9" ht="6.75" customHeight="1" x14ac:dyDescent="0.25">
      <c r="B45" s="149"/>
      <c r="C45" s="150"/>
      <c r="D45" s="151"/>
      <c r="E45" s="150"/>
      <c r="F45" s="151"/>
      <c r="G45" s="150"/>
      <c r="H45" s="151"/>
      <c r="I45" s="151"/>
    </row>
    <row r="46" spans="2:9" ht="15" customHeight="1" x14ac:dyDescent="0.35">
      <c r="B46" s="13" t="s">
        <v>89</v>
      </c>
      <c r="C46" s="86"/>
      <c r="D46" s="88"/>
      <c r="E46" s="95"/>
      <c r="F46" s="10"/>
      <c r="G46" s="97"/>
      <c r="H46" s="14"/>
      <c r="I46" s="12"/>
    </row>
    <row r="47" spans="2:9" ht="28.5" customHeight="1" x14ac:dyDescent="0.35">
      <c r="B47" s="257" t="str">
        <f>B28</f>
        <v>Redevance consommation eau potable (Agence de l'eau)</v>
      </c>
      <c r="C47" s="258"/>
      <c r="D47" s="90" t="str">
        <f>IF($I$14="pb","-",$H$13)</f>
        <v>-</v>
      </c>
      <c r="E47" s="97" t="str">
        <f>IF($I$14="pb","-",'Tarif EAU'!Q2)</f>
        <v>-</v>
      </c>
      <c r="F47" s="10" t="str">
        <f>IF($I$14="pb","-",D47*E47)</f>
        <v>-</v>
      </c>
      <c r="G47" s="97" t="str">
        <f>IF($I$14="pb","-",F47*H47)</f>
        <v>-</v>
      </c>
      <c r="H47" s="11" t="str">
        <f>IF($I$14="pb","-",5.5%)</f>
        <v>-</v>
      </c>
      <c r="I47" s="12" t="str">
        <f>IF($I$14="pb","-",F47*H47+F47)</f>
        <v>-</v>
      </c>
    </row>
    <row r="48" spans="2:9" ht="15" customHeight="1" x14ac:dyDescent="0.35">
      <c r="B48" s="265" t="str">
        <f t="shared" ref="B48:B49" si="0">B29</f>
        <v>Performance des réseaux d'eau potable</v>
      </c>
      <c r="C48" s="266"/>
      <c r="D48" s="90" t="str">
        <f>IF($I$14="pb","-",$H$13)</f>
        <v>-</v>
      </c>
      <c r="E48" s="97" t="str">
        <f>IF($I$14="pb","-",'Tarif EAU'!Q3)</f>
        <v>-</v>
      </c>
      <c r="F48" s="10" t="str">
        <f>IF($I$14="pb","-",D48*E48)</f>
        <v>-</v>
      </c>
      <c r="G48" s="97" t="str">
        <f>IF($I$14="pb","-",F48*H48)</f>
        <v>-</v>
      </c>
      <c r="H48" s="11" t="str">
        <f>IF($I$14="pb","-",5.5%)</f>
        <v>-</v>
      </c>
      <c r="I48" s="12" t="str">
        <f>IF($I$14="pb","-",F48*H48+F48)</f>
        <v>-</v>
      </c>
    </row>
    <row r="49" spans="2:9" ht="28.5" customHeight="1" x14ac:dyDescent="0.35">
      <c r="B49" s="257" t="str">
        <f t="shared" si="0"/>
        <v>Performance des systèmes d'assainissement collectif</v>
      </c>
      <c r="C49" s="258"/>
      <c r="D49" s="90" t="str">
        <f>IF(OR($I$14="pb",$F$11="Non",E43="ANC"),"-",$H$13)</f>
        <v>-</v>
      </c>
      <c r="E49" s="105" t="str">
        <f>IF(OR($I$14="pb",$F$11="Non",E43="ANC"),"-",'Tarif EAU'!Q4)</f>
        <v>-</v>
      </c>
      <c r="F49" s="10" t="str">
        <f>IF(OR($I$14="pb",$F$11="Non",E43="ANC"),"-",D49*E49)</f>
        <v>-</v>
      </c>
      <c r="G49" s="97" t="str">
        <f>IF(OR($I$14="pb",$F$11="Non",E43="ANC"),"-",F49*H49)</f>
        <v>-</v>
      </c>
      <c r="H49" s="11" t="str">
        <f>IF(OR($I$14="pb",$F$11="Non"),"-",10%)</f>
        <v>-</v>
      </c>
      <c r="I49" s="12" t="str">
        <f>IF(OR($I$14="pb",$F$11="Non",E43="ANC"),"-",F49*H49+F49)</f>
        <v>-</v>
      </c>
    </row>
    <row r="50" spans="2:9" ht="15" customHeight="1" x14ac:dyDescent="0.35">
      <c r="B50" s="259" t="str">
        <f>B31</f>
        <v>Prélèvement ressource en eau</v>
      </c>
      <c r="C50" s="260"/>
      <c r="D50" s="91" t="str">
        <f>IF($I$14="pb","-",$H$13)</f>
        <v>-</v>
      </c>
      <c r="E50" s="103" t="str">
        <f>IF($I$14="pb","-",'Tarif EAU'!Q5)</f>
        <v>-</v>
      </c>
      <c r="F50" s="16" t="str">
        <f>IF($I$14="pb","-",D50*E50)</f>
        <v>-</v>
      </c>
      <c r="G50" s="98" t="str">
        <f>IF($I$14="pb","-",F50*H50)</f>
        <v>-</v>
      </c>
      <c r="H50" s="17" t="str">
        <f>IF($I$14="pb","-",5.5%)</f>
        <v>-</v>
      </c>
      <c r="I50" s="18" t="str">
        <f>IF($I$14="pb","-",F50*H50+F50)</f>
        <v>-</v>
      </c>
    </row>
    <row r="51" spans="2:9" ht="6.75" customHeight="1" thickBot="1" x14ac:dyDescent="0.4">
      <c r="B51" s="2"/>
      <c r="C51" s="2"/>
      <c r="D51" s="2"/>
      <c r="E51" s="19"/>
      <c r="F51" s="19"/>
      <c r="G51" s="19"/>
      <c r="H51" s="19"/>
      <c r="I51" s="19"/>
    </row>
    <row r="52" spans="2:9" ht="15.75" thickBot="1" x14ac:dyDescent="0.3">
      <c r="B52" s="112" t="s">
        <v>18</v>
      </c>
      <c r="C52" s="113"/>
      <c r="D52" s="113"/>
      <c r="E52" s="114"/>
      <c r="F52" s="115">
        <f>SUM(F39:F50)</f>
        <v>0</v>
      </c>
      <c r="G52" s="115">
        <f>SUM(G39:G50)</f>
        <v>0</v>
      </c>
      <c r="H52" s="234"/>
      <c r="I52" s="235">
        <f>SUM(I38:I50)</f>
        <v>0</v>
      </c>
    </row>
    <row r="53" spans="2:9" ht="7.5" customHeight="1" x14ac:dyDescent="0.25"/>
    <row r="54" spans="2:9" ht="12" customHeight="1" x14ac:dyDescent="0.25">
      <c r="B54" s="157" t="s">
        <v>104</v>
      </c>
      <c r="C54" s="157"/>
      <c r="D54" s="148"/>
      <c r="E54" s="148"/>
      <c r="F54" s="148"/>
      <c r="G54" s="148"/>
      <c r="H54" s="148"/>
      <c r="I54" s="148"/>
    </row>
    <row r="55" spans="2:9" ht="6.75" customHeight="1" x14ac:dyDescent="0.25">
      <c r="B55" s="122"/>
      <c r="C55" s="123"/>
      <c r="D55" s="123"/>
      <c r="E55" s="123"/>
      <c r="F55" s="123"/>
      <c r="G55" s="123"/>
      <c r="H55" s="123"/>
      <c r="I55" s="123"/>
    </row>
    <row r="56" spans="2:9" ht="12" customHeight="1" x14ac:dyDescent="0.3">
      <c r="B56" s="232" t="s">
        <v>143</v>
      </c>
      <c r="C56" s="123"/>
      <c r="D56" s="123"/>
      <c r="E56" s="123"/>
      <c r="F56" s="123"/>
      <c r="G56" s="123"/>
      <c r="H56" s="123"/>
      <c r="I56" s="123"/>
    </row>
    <row r="57" spans="2:9" ht="12" customHeight="1" x14ac:dyDescent="0.3">
      <c r="B57" s="232" t="s">
        <v>145</v>
      </c>
    </row>
    <row r="58" spans="2:9" ht="12" customHeight="1" x14ac:dyDescent="0.3">
      <c r="B58" s="232" t="s">
        <v>150</v>
      </c>
    </row>
    <row r="59" spans="2:9" ht="24" customHeight="1" x14ac:dyDescent="0.3">
      <c r="B59" s="275" t="s">
        <v>151</v>
      </c>
      <c r="C59" s="275"/>
      <c r="D59" s="275"/>
      <c r="E59" s="275"/>
      <c r="F59" s="275"/>
      <c r="G59" s="275"/>
      <c r="H59" s="275"/>
      <c r="I59" s="275"/>
    </row>
    <row r="60" spans="2:9" ht="24" customHeight="1" x14ac:dyDescent="0.25">
      <c r="B60" s="269" t="s">
        <v>155</v>
      </c>
      <c r="C60" s="269"/>
      <c r="D60" s="269"/>
      <c r="E60" s="269"/>
      <c r="F60" s="269"/>
      <c r="G60" s="269"/>
      <c r="H60" s="269"/>
      <c r="I60" s="269"/>
    </row>
    <row r="61" spans="2:9" ht="5.25" customHeight="1" x14ac:dyDescent="0.25"/>
    <row r="62" spans="2:9" x14ac:dyDescent="0.25">
      <c r="B62" s="242" t="str">
        <f>IF(I14="pb","","Au regard des éléments saisis, il apparait préférable d'opter pour le tarif "&amp;IF(I33&gt;I52,"""domestiques ou assimilés"". ","""industriels""."))</f>
        <v/>
      </c>
      <c r="C62" s="243"/>
      <c r="D62" s="243"/>
      <c r="E62" s="243"/>
    </row>
    <row r="63" spans="2:9" x14ac:dyDescent="0.25">
      <c r="B63" s="267" t="str">
        <f>IF(I14="pb","",IF(I33&gt;I52,"","Ce tarif permet de réduire votre facture de "))</f>
        <v/>
      </c>
      <c r="C63" s="267"/>
      <c r="D63" s="267"/>
      <c r="E63" s="244" t="str">
        <f>IF(I14="pb","",IF(I33&gt;I52,"",I52-I33))</f>
        <v/>
      </c>
    </row>
    <row r="64" spans="2:9" ht="5.25" customHeight="1" x14ac:dyDescent="0.25"/>
    <row r="65" spans="2:2" ht="12" customHeight="1" x14ac:dyDescent="0.25">
      <c r="B65" s="122" t="s">
        <v>96</v>
      </c>
    </row>
  </sheetData>
  <sheetProtection algorithmName="SHA-512" hashValue="hnqUkJsQTCxCuhtn78Wqeqlj7wsRkdHu3TILBBzNllIFDZuWsirfYC+qxav8wwlUKvCDvoidmBE9/FBbslo6vQ==" saltValue="+Noc/BtAGBLt5ko9ag29Dg==" spinCount="100000" sheet="1" objects="1" scenarios="1" selectLockedCells="1"/>
  <mergeCells count="17">
    <mergeCell ref="B59:I59"/>
    <mergeCell ref="B63:D63"/>
    <mergeCell ref="B49:C49"/>
    <mergeCell ref="B50:C50"/>
    <mergeCell ref="I8:I10"/>
    <mergeCell ref="B47:C47"/>
    <mergeCell ref="B48:C48"/>
    <mergeCell ref="B60:I60"/>
    <mergeCell ref="D1:I1"/>
    <mergeCell ref="B29:C29"/>
    <mergeCell ref="B30:C30"/>
    <mergeCell ref="B31:C31"/>
    <mergeCell ref="B37:C37"/>
    <mergeCell ref="D2:I2"/>
    <mergeCell ref="G5:I5"/>
    <mergeCell ref="B17:C17"/>
    <mergeCell ref="B28:C28"/>
  </mergeCells>
  <dataValidations count="2">
    <dataValidation type="whole" operator="greaterThanOrEqual" allowBlank="1" showInputMessage="1" showErrorMessage="1" error="Saisir la consommation en m3" sqref="H13" xr:uid="{43B02D1D-1127-444B-AECA-FA99F9B84929}">
      <formula1>1</formula1>
    </dataValidation>
    <dataValidation type="whole" allowBlank="1" showInputMessage="1" showErrorMessage="1" error="Saisir un nombre entre 1 et 20" sqref="G7 G9" xr:uid="{00650F77-77A7-428D-91D4-D23ED7CF1247}">
      <formula1>0</formula1>
      <formula2>20</formula2>
    </dataValidation>
  </dataValidations>
  <hyperlinks>
    <hyperlink ref="B13" r:id="rId1" xr:uid="{11559D45-A525-4953-9AFA-1DF96A9D1D6F}"/>
  </hyperlinks>
  <pageMargins left="0.25" right="0.25" top="0.75" bottom="0.75" header="0.3" footer="0.3"/>
  <pageSetup paperSize="9" scale="76"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commune du lieu déservi n'est pas valide" xr:uid="{B394CEF5-E39B-481B-889B-78C2F3222C87}">
          <x14:formula1>
            <xm:f>'Tarif EAU'!$A$2:$A$42</xm:f>
          </x14:formula1>
          <xm:sqref>G5</xm:sqref>
        </x14:dataValidation>
        <x14:dataValidation type="list" allowBlank="1" showInputMessage="1" showErrorMessage="1" error="Choisir Oui ou Non_x000a_" xr:uid="{5ECFE462-AE2A-4C12-AE67-9F309E77201D}">
          <x14:formula1>
            <xm:f>'Tarif EAU'!$T$2:$T$3</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20D5-BE03-4C8C-9914-AAB8192DC081}">
  <dimension ref="A1:T42"/>
  <sheetViews>
    <sheetView topLeftCell="A9" zoomScale="90" zoomScaleNormal="90" workbookViewId="0">
      <selection activeCell="J23" sqref="J23"/>
    </sheetView>
  </sheetViews>
  <sheetFormatPr baseColWidth="10" defaultRowHeight="15" x14ac:dyDescent="0.25"/>
  <cols>
    <col min="1" max="1" width="43.28515625" customWidth="1"/>
    <col min="5" max="5" width="14.5703125" style="48" customWidth="1"/>
    <col min="6" max="6" width="11.42578125" style="156"/>
    <col min="9" max="9" width="6" customWidth="1"/>
    <col min="10" max="10" width="6.140625" customWidth="1"/>
    <col min="12" max="12" width="6.5703125" customWidth="1"/>
    <col min="13" max="13" width="6.140625" customWidth="1"/>
    <col min="15" max="15" width="5.28515625" customWidth="1"/>
    <col min="16" max="16" width="20.85546875" customWidth="1"/>
    <col min="17" max="18" width="11.28515625" customWidth="1"/>
    <col min="19" max="19" width="6.7109375" customWidth="1"/>
  </cols>
  <sheetData>
    <row r="1" spans="1:20" ht="49.5" x14ac:dyDescent="0.25">
      <c r="A1" s="31" t="s">
        <v>24</v>
      </c>
      <c r="B1" s="31" t="s">
        <v>25</v>
      </c>
      <c r="C1" s="125" t="s">
        <v>70</v>
      </c>
      <c r="D1" s="126" t="s">
        <v>71</v>
      </c>
      <c r="E1" s="46" t="s">
        <v>62</v>
      </c>
      <c r="F1" s="153" t="s">
        <v>72</v>
      </c>
      <c r="G1" s="49" t="s">
        <v>80</v>
      </c>
      <c r="H1" s="127" t="s">
        <v>111</v>
      </c>
      <c r="J1" s="22" t="s">
        <v>63</v>
      </c>
      <c r="K1" s="22" t="s">
        <v>73</v>
      </c>
      <c r="M1" s="50" t="s">
        <v>63</v>
      </c>
      <c r="N1" s="50" t="s">
        <v>74</v>
      </c>
      <c r="P1" t="s">
        <v>93</v>
      </c>
      <c r="Q1" t="s">
        <v>94</v>
      </c>
      <c r="S1" t="s">
        <v>75</v>
      </c>
      <c r="T1" t="s">
        <v>76</v>
      </c>
    </row>
    <row r="2" spans="1:20" ht="16.5" x14ac:dyDescent="0.35">
      <c r="A2" s="128" t="s">
        <v>26</v>
      </c>
      <c r="B2" s="129">
        <v>0</v>
      </c>
      <c r="C2" s="130">
        <v>1.996</v>
      </c>
      <c r="D2" s="32">
        <v>112.11</v>
      </c>
      <c r="E2" s="131">
        <v>4</v>
      </c>
      <c r="F2" s="154">
        <f t="shared" ref="F2:F42" si="0">VLOOKUP(E2,J:K,2,FALSE)</f>
        <v>1.85</v>
      </c>
      <c r="G2" s="132">
        <v>4</v>
      </c>
      <c r="H2" s="152">
        <f>VLOOKUP(G2,M:N,2,FALSE)</f>
        <v>1.52</v>
      </c>
      <c r="J2">
        <v>1</v>
      </c>
      <c r="K2">
        <v>0.89</v>
      </c>
      <c r="M2">
        <v>1</v>
      </c>
      <c r="N2">
        <v>0.92</v>
      </c>
      <c r="P2" s="99" t="s">
        <v>88</v>
      </c>
      <c r="Q2" s="2">
        <v>0.43</v>
      </c>
      <c r="T2" t="s">
        <v>77</v>
      </c>
    </row>
    <row r="3" spans="1:20" ht="16.5" x14ac:dyDescent="0.35">
      <c r="A3" s="128" t="s">
        <v>49</v>
      </c>
      <c r="B3" s="129">
        <v>4</v>
      </c>
      <c r="C3" s="130">
        <v>2.0030000000000001</v>
      </c>
      <c r="D3" s="32">
        <v>25</v>
      </c>
      <c r="E3" s="131">
        <v>2</v>
      </c>
      <c r="F3" s="154">
        <f t="shared" si="0"/>
        <v>1.08</v>
      </c>
      <c r="G3" s="132">
        <v>4</v>
      </c>
      <c r="H3" s="152">
        <f t="shared" ref="H3:H42" si="1">VLOOKUP(G3,M:N,2,FALSE)</f>
        <v>1.52</v>
      </c>
      <c r="J3">
        <v>2</v>
      </c>
      <c r="K3">
        <v>1.08</v>
      </c>
      <c r="M3">
        <v>2</v>
      </c>
      <c r="N3">
        <v>1.1000000000000001</v>
      </c>
      <c r="P3" s="9" t="s">
        <v>90</v>
      </c>
      <c r="Q3" s="101">
        <v>0.01</v>
      </c>
      <c r="T3" t="s">
        <v>78</v>
      </c>
    </row>
    <row r="4" spans="1:20" ht="16.5" x14ac:dyDescent="0.35">
      <c r="A4" s="133" t="s">
        <v>35</v>
      </c>
      <c r="B4" s="129">
        <v>2</v>
      </c>
      <c r="C4" s="130">
        <v>1.4430000000000001</v>
      </c>
      <c r="D4" s="32">
        <v>25</v>
      </c>
      <c r="E4" s="131">
        <v>2</v>
      </c>
      <c r="F4" s="154">
        <f t="shared" si="0"/>
        <v>1.08</v>
      </c>
      <c r="G4" s="132">
        <v>2</v>
      </c>
      <c r="H4" s="152">
        <f t="shared" si="1"/>
        <v>1.1000000000000001</v>
      </c>
      <c r="J4">
        <v>3</v>
      </c>
      <c r="K4">
        <v>1.38</v>
      </c>
      <c r="M4">
        <v>3</v>
      </c>
      <c r="N4">
        <v>1.37</v>
      </c>
      <c r="P4" s="9" t="s">
        <v>91</v>
      </c>
      <c r="Q4" s="101">
        <v>0.01</v>
      </c>
    </row>
    <row r="5" spans="1:20" ht="16.5" x14ac:dyDescent="0.35">
      <c r="A5" s="128" t="s">
        <v>36</v>
      </c>
      <c r="B5" s="129">
        <v>2</v>
      </c>
      <c r="C5" s="130">
        <v>1.4430000000000001</v>
      </c>
      <c r="D5" s="32">
        <v>25</v>
      </c>
      <c r="E5" s="131">
        <v>1</v>
      </c>
      <c r="F5" s="154">
        <f t="shared" si="0"/>
        <v>0.89</v>
      </c>
      <c r="G5" s="132">
        <v>2</v>
      </c>
      <c r="H5" s="152">
        <f t="shared" si="1"/>
        <v>1.1000000000000001</v>
      </c>
      <c r="J5">
        <v>4</v>
      </c>
      <c r="K5">
        <v>1.85</v>
      </c>
      <c r="M5">
        <v>4</v>
      </c>
      <c r="N5">
        <v>1.52</v>
      </c>
      <c r="P5" s="15" t="s">
        <v>92</v>
      </c>
      <c r="Q5" s="102">
        <v>4.6600000000000003E-2</v>
      </c>
    </row>
    <row r="6" spans="1:20" ht="16.5" x14ac:dyDescent="0.25">
      <c r="A6" s="128" t="s">
        <v>37</v>
      </c>
      <c r="B6" s="129">
        <v>2</v>
      </c>
      <c r="C6" s="130">
        <v>1.4430000000000001</v>
      </c>
      <c r="D6" s="32">
        <v>25</v>
      </c>
      <c r="E6" s="131">
        <v>2</v>
      </c>
      <c r="F6" s="154">
        <f t="shared" si="0"/>
        <v>1.08</v>
      </c>
      <c r="G6" s="132">
        <v>2</v>
      </c>
      <c r="H6" s="152">
        <f t="shared" si="1"/>
        <v>1.1000000000000001</v>
      </c>
      <c r="J6" t="s">
        <v>69</v>
      </c>
      <c r="K6" t="s">
        <v>68</v>
      </c>
      <c r="M6">
        <v>5</v>
      </c>
      <c r="N6">
        <v>1.7</v>
      </c>
    </row>
    <row r="7" spans="1:20" ht="16.5" x14ac:dyDescent="0.25">
      <c r="A7" s="133" t="s">
        <v>27</v>
      </c>
      <c r="B7" s="129">
        <v>1</v>
      </c>
      <c r="C7" s="130">
        <v>1.204</v>
      </c>
      <c r="D7" s="32">
        <v>25</v>
      </c>
      <c r="E7" s="131">
        <v>1</v>
      </c>
      <c r="F7" s="154">
        <f t="shared" si="0"/>
        <v>0.89</v>
      </c>
      <c r="G7" s="132">
        <v>1</v>
      </c>
      <c r="H7" s="152">
        <f t="shared" si="1"/>
        <v>0.92</v>
      </c>
      <c r="M7">
        <v>6</v>
      </c>
      <c r="N7">
        <v>1.83</v>
      </c>
    </row>
    <row r="8" spans="1:20" ht="16.5" x14ac:dyDescent="0.25">
      <c r="A8" s="133" t="s">
        <v>50</v>
      </c>
      <c r="B8" s="129">
        <v>4</v>
      </c>
      <c r="C8" s="130">
        <v>2.0033400000000001</v>
      </c>
      <c r="D8" s="32">
        <v>25</v>
      </c>
      <c r="E8" s="131">
        <v>1</v>
      </c>
      <c r="F8" s="154">
        <f t="shared" si="0"/>
        <v>0.89</v>
      </c>
      <c r="G8" s="132">
        <v>4</v>
      </c>
      <c r="H8" s="152">
        <f t="shared" si="1"/>
        <v>1.52</v>
      </c>
      <c r="M8" t="s">
        <v>69</v>
      </c>
    </row>
    <row r="9" spans="1:20" ht="16.5" x14ac:dyDescent="0.25">
      <c r="A9" s="133" t="s">
        <v>46</v>
      </c>
      <c r="B9" s="129">
        <v>3</v>
      </c>
      <c r="C9" s="130">
        <v>1.796</v>
      </c>
      <c r="D9" s="32">
        <v>25</v>
      </c>
      <c r="E9" s="131">
        <v>1</v>
      </c>
      <c r="F9" s="154">
        <f t="shared" si="0"/>
        <v>0.89</v>
      </c>
      <c r="G9" s="132">
        <v>3</v>
      </c>
      <c r="H9" s="152">
        <f t="shared" si="1"/>
        <v>1.37</v>
      </c>
    </row>
    <row r="10" spans="1:20" ht="16.5" x14ac:dyDescent="0.25">
      <c r="A10" s="128" t="s">
        <v>28</v>
      </c>
      <c r="B10" s="129">
        <v>1</v>
      </c>
      <c r="C10" s="130">
        <v>1.204</v>
      </c>
      <c r="D10" s="32">
        <v>25</v>
      </c>
      <c r="E10" s="131">
        <v>1</v>
      </c>
      <c r="F10" s="154">
        <f t="shared" si="0"/>
        <v>0.89</v>
      </c>
      <c r="G10" s="132">
        <v>1</v>
      </c>
      <c r="H10" s="152">
        <f t="shared" si="1"/>
        <v>0.92</v>
      </c>
    </row>
    <row r="11" spans="1:20" ht="16.5" x14ac:dyDescent="0.25">
      <c r="A11" s="128" t="s">
        <v>29</v>
      </c>
      <c r="B11" s="129">
        <v>1</v>
      </c>
      <c r="C11" s="130">
        <v>1.204</v>
      </c>
      <c r="D11" s="32">
        <v>25</v>
      </c>
      <c r="E11" s="131">
        <v>1</v>
      </c>
      <c r="F11" s="154">
        <f t="shared" si="0"/>
        <v>0.89</v>
      </c>
      <c r="G11" s="132">
        <v>1</v>
      </c>
      <c r="H11" s="152">
        <f t="shared" si="1"/>
        <v>0.92</v>
      </c>
    </row>
    <row r="12" spans="1:20" ht="16.5" x14ac:dyDescent="0.25">
      <c r="A12" s="134" t="s">
        <v>81</v>
      </c>
      <c r="B12" s="129">
        <v>1</v>
      </c>
      <c r="C12" s="130">
        <v>1.204</v>
      </c>
      <c r="D12" s="32">
        <v>25</v>
      </c>
      <c r="E12" s="131">
        <v>1</v>
      </c>
      <c r="F12" s="154">
        <f t="shared" si="0"/>
        <v>0.89</v>
      </c>
      <c r="G12" s="132">
        <v>1</v>
      </c>
      <c r="H12" s="152">
        <f t="shared" si="1"/>
        <v>0.92</v>
      </c>
    </row>
    <row r="13" spans="1:20" ht="16.5" x14ac:dyDescent="0.25">
      <c r="A13" s="128" t="s">
        <v>38</v>
      </c>
      <c r="B13" s="129">
        <v>2</v>
      </c>
      <c r="C13" s="130">
        <v>1.4430000000000001</v>
      </c>
      <c r="D13" s="32">
        <v>25</v>
      </c>
      <c r="E13" s="131">
        <v>1</v>
      </c>
      <c r="F13" s="154">
        <f t="shared" si="0"/>
        <v>0.89</v>
      </c>
      <c r="G13" s="132">
        <v>2</v>
      </c>
      <c r="H13" s="152">
        <f t="shared" si="1"/>
        <v>1.1000000000000001</v>
      </c>
    </row>
    <row r="14" spans="1:20" ht="16.5" x14ac:dyDescent="0.25">
      <c r="A14" s="128" t="s">
        <v>30</v>
      </c>
      <c r="B14" s="129">
        <v>1</v>
      </c>
      <c r="C14" s="130">
        <v>1.20408</v>
      </c>
      <c r="D14" s="32">
        <v>25</v>
      </c>
      <c r="E14" s="131">
        <v>1</v>
      </c>
      <c r="F14" s="154">
        <f t="shared" si="0"/>
        <v>0.89</v>
      </c>
      <c r="G14" s="132">
        <v>1</v>
      </c>
      <c r="H14" s="152">
        <f t="shared" si="1"/>
        <v>0.92</v>
      </c>
    </row>
    <row r="15" spans="1:20" ht="16.5" x14ac:dyDescent="0.25">
      <c r="A15" s="133" t="s">
        <v>51</v>
      </c>
      <c r="B15" s="129">
        <v>4</v>
      </c>
      <c r="C15" s="130">
        <v>2.0030000000000001</v>
      </c>
      <c r="D15" s="32">
        <v>25</v>
      </c>
      <c r="E15" s="131">
        <v>1</v>
      </c>
      <c r="F15" s="154">
        <f t="shared" si="0"/>
        <v>0.89</v>
      </c>
      <c r="G15" s="132">
        <v>4</v>
      </c>
      <c r="H15" s="152">
        <f t="shared" si="1"/>
        <v>1.52</v>
      </c>
    </row>
    <row r="16" spans="1:20" ht="16.5" x14ac:dyDescent="0.25">
      <c r="A16" s="128" t="s">
        <v>52</v>
      </c>
      <c r="B16" s="129">
        <v>4</v>
      </c>
      <c r="C16" s="130">
        <v>2.0030000000000001</v>
      </c>
      <c r="D16" s="32">
        <v>25</v>
      </c>
      <c r="E16" s="131">
        <v>2</v>
      </c>
      <c r="F16" s="154">
        <f t="shared" si="0"/>
        <v>1.08</v>
      </c>
      <c r="G16" s="132">
        <v>4</v>
      </c>
      <c r="H16" s="152">
        <f t="shared" si="1"/>
        <v>1.52</v>
      </c>
    </row>
    <row r="17" spans="1:8" ht="16.5" x14ac:dyDescent="0.25">
      <c r="A17" s="133" t="s">
        <v>31</v>
      </c>
      <c r="B17" s="129">
        <v>1</v>
      </c>
      <c r="C17" s="130">
        <v>1.204</v>
      </c>
      <c r="D17" s="32">
        <v>25</v>
      </c>
      <c r="E17" s="131">
        <v>1</v>
      </c>
      <c r="F17" s="154">
        <f t="shared" si="0"/>
        <v>0.89</v>
      </c>
      <c r="G17" s="132">
        <v>1</v>
      </c>
      <c r="H17" s="152">
        <f t="shared" si="1"/>
        <v>0.92</v>
      </c>
    </row>
    <row r="18" spans="1:8" ht="16.5" x14ac:dyDescent="0.25">
      <c r="A18" s="128" t="s">
        <v>39</v>
      </c>
      <c r="B18" s="129">
        <v>2</v>
      </c>
      <c r="C18" s="130">
        <v>1.4430000000000001</v>
      </c>
      <c r="D18" s="32">
        <v>25</v>
      </c>
      <c r="E18" s="131">
        <v>1</v>
      </c>
      <c r="F18" s="154">
        <f t="shared" si="0"/>
        <v>0.89</v>
      </c>
      <c r="G18" s="132">
        <v>2</v>
      </c>
      <c r="H18" s="152">
        <f t="shared" si="1"/>
        <v>1.1000000000000001</v>
      </c>
    </row>
    <row r="19" spans="1:8" ht="16.5" x14ac:dyDescent="0.25">
      <c r="A19" s="128" t="s">
        <v>40</v>
      </c>
      <c r="B19" s="129">
        <v>2</v>
      </c>
      <c r="C19" s="130">
        <v>1.4430000000000001</v>
      </c>
      <c r="D19" s="32">
        <v>25</v>
      </c>
      <c r="E19" s="131">
        <v>2</v>
      </c>
      <c r="F19" s="154">
        <f t="shared" si="0"/>
        <v>1.08</v>
      </c>
      <c r="G19" s="132">
        <v>2</v>
      </c>
      <c r="H19" s="152">
        <f t="shared" si="1"/>
        <v>1.1000000000000001</v>
      </c>
    </row>
    <row r="20" spans="1:8" ht="16.5" x14ac:dyDescent="0.25">
      <c r="A20" s="128" t="s">
        <v>41</v>
      </c>
      <c r="B20" s="129">
        <v>2</v>
      </c>
      <c r="C20" s="130">
        <v>1.4430000000000001</v>
      </c>
      <c r="D20" s="32">
        <v>25</v>
      </c>
      <c r="E20" s="131">
        <v>1</v>
      </c>
      <c r="F20" s="154">
        <f t="shared" si="0"/>
        <v>0.89</v>
      </c>
      <c r="G20" s="132">
        <v>2</v>
      </c>
      <c r="H20" s="152">
        <f t="shared" si="1"/>
        <v>1.1000000000000001</v>
      </c>
    </row>
    <row r="21" spans="1:8" ht="16.5" x14ac:dyDescent="0.25">
      <c r="A21" s="128" t="s">
        <v>47</v>
      </c>
      <c r="B21" s="129">
        <v>3</v>
      </c>
      <c r="C21" s="130">
        <v>1.796</v>
      </c>
      <c r="D21" s="32">
        <v>25</v>
      </c>
      <c r="E21" s="131">
        <v>2</v>
      </c>
      <c r="F21" s="154">
        <f t="shared" si="0"/>
        <v>1.08</v>
      </c>
      <c r="G21" s="132">
        <v>3</v>
      </c>
      <c r="H21" s="152">
        <f t="shared" si="1"/>
        <v>1.37</v>
      </c>
    </row>
    <row r="22" spans="1:8" ht="16.5" x14ac:dyDescent="0.25">
      <c r="A22" s="128" t="s">
        <v>53</v>
      </c>
      <c r="B22" s="129">
        <v>4</v>
      </c>
      <c r="C22" s="130">
        <v>2.0030000000000001</v>
      </c>
      <c r="D22" s="32">
        <v>25</v>
      </c>
      <c r="E22" s="131">
        <v>3</v>
      </c>
      <c r="F22" s="154">
        <f t="shared" si="0"/>
        <v>1.38</v>
      </c>
      <c r="G22" s="132">
        <v>4</v>
      </c>
      <c r="H22" s="152">
        <f t="shared" si="1"/>
        <v>1.52</v>
      </c>
    </row>
    <row r="23" spans="1:8" ht="16.5" x14ac:dyDescent="0.25">
      <c r="A23" s="133" t="s">
        <v>64</v>
      </c>
      <c r="B23" s="129">
        <v>3</v>
      </c>
      <c r="C23" s="130">
        <v>1.796</v>
      </c>
      <c r="D23" s="32">
        <v>25</v>
      </c>
      <c r="E23" s="131">
        <v>1</v>
      </c>
      <c r="F23" s="154">
        <f t="shared" si="0"/>
        <v>0.89</v>
      </c>
      <c r="G23" s="132">
        <v>3</v>
      </c>
      <c r="H23" s="152">
        <f t="shared" si="1"/>
        <v>1.37</v>
      </c>
    </row>
    <row r="24" spans="1:8" ht="16.5" x14ac:dyDescent="0.25">
      <c r="A24" s="133" t="s">
        <v>65</v>
      </c>
      <c r="B24" s="129">
        <v>0</v>
      </c>
      <c r="C24" s="130">
        <v>1.786</v>
      </c>
      <c r="D24" s="32">
        <v>119.48</v>
      </c>
      <c r="E24" s="131">
        <v>4</v>
      </c>
      <c r="F24" s="154">
        <f t="shared" si="0"/>
        <v>1.85</v>
      </c>
      <c r="G24" s="132">
        <v>3</v>
      </c>
      <c r="H24" s="152">
        <f t="shared" si="1"/>
        <v>1.37</v>
      </c>
    </row>
    <row r="25" spans="1:8" ht="16.5" x14ac:dyDescent="0.25">
      <c r="A25" s="128" t="s">
        <v>32</v>
      </c>
      <c r="B25" s="129">
        <v>1</v>
      </c>
      <c r="C25" s="130">
        <v>1.204</v>
      </c>
      <c r="D25" s="32">
        <v>25</v>
      </c>
      <c r="E25" s="131">
        <v>1</v>
      </c>
      <c r="F25" s="154">
        <f t="shared" si="0"/>
        <v>0.89</v>
      </c>
      <c r="G25" s="132">
        <v>1</v>
      </c>
      <c r="H25" s="152">
        <f t="shared" si="1"/>
        <v>0.92</v>
      </c>
    </row>
    <row r="26" spans="1:8" ht="16.5" x14ac:dyDescent="0.25">
      <c r="A26" s="128" t="s">
        <v>66</v>
      </c>
      <c r="B26" s="129">
        <v>3</v>
      </c>
      <c r="C26" s="130">
        <v>1.796</v>
      </c>
      <c r="D26" s="32">
        <v>25</v>
      </c>
      <c r="E26" s="131">
        <v>2</v>
      </c>
      <c r="F26" s="154">
        <f t="shared" si="0"/>
        <v>1.08</v>
      </c>
      <c r="G26" s="132">
        <v>3</v>
      </c>
      <c r="H26" s="152">
        <f t="shared" si="1"/>
        <v>1.37</v>
      </c>
    </row>
    <row r="27" spans="1:8" ht="16.5" x14ac:dyDescent="0.25">
      <c r="A27" s="128" t="s">
        <v>48</v>
      </c>
      <c r="B27" s="129">
        <v>3</v>
      </c>
      <c r="C27" s="130">
        <v>1.796</v>
      </c>
      <c r="D27" s="32">
        <v>25</v>
      </c>
      <c r="E27" s="131">
        <v>3</v>
      </c>
      <c r="F27" s="154">
        <f t="shared" si="0"/>
        <v>1.38</v>
      </c>
      <c r="G27" s="132">
        <v>3</v>
      </c>
      <c r="H27" s="152">
        <f t="shared" si="1"/>
        <v>1.37</v>
      </c>
    </row>
    <row r="28" spans="1:8" ht="16.5" x14ac:dyDescent="0.25">
      <c r="A28" s="133" t="s">
        <v>67</v>
      </c>
      <c r="B28" s="129">
        <v>2</v>
      </c>
      <c r="C28" s="130">
        <v>1.4430000000000001</v>
      </c>
      <c r="D28" s="32">
        <v>25</v>
      </c>
      <c r="E28" s="131">
        <v>2</v>
      </c>
      <c r="F28" s="154">
        <f t="shared" si="0"/>
        <v>1.08</v>
      </c>
      <c r="G28" s="132">
        <v>2</v>
      </c>
      <c r="H28" s="152">
        <f t="shared" si="1"/>
        <v>1.1000000000000001</v>
      </c>
    </row>
    <row r="29" spans="1:8" ht="16.5" x14ac:dyDescent="0.25">
      <c r="A29" s="128" t="s">
        <v>42</v>
      </c>
      <c r="B29" s="129">
        <v>2</v>
      </c>
      <c r="C29" s="130">
        <v>1.4430000000000001</v>
      </c>
      <c r="D29" s="32">
        <v>25</v>
      </c>
      <c r="E29" s="131">
        <v>2</v>
      </c>
      <c r="F29" s="154">
        <f t="shared" si="0"/>
        <v>1.08</v>
      </c>
      <c r="G29" s="132">
        <v>2</v>
      </c>
      <c r="H29" s="152">
        <f t="shared" si="1"/>
        <v>1.1000000000000001</v>
      </c>
    </row>
    <row r="30" spans="1:8" ht="16.5" x14ac:dyDescent="0.25">
      <c r="A30" s="135" t="s">
        <v>54</v>
      </c>
      <c r="B30" s="129">
        <v>4</v>
      </c>
      <c r="C30" s="136">
        <v>2.0030000000000001</v>
      </c>
      <c r="D30" s="137">
        <v>25</v>
      </c>
      <c r="E30" s="131">
        <v>4</v>
      </c>
      <c r="F30" s="155">
        <f t="shared" si="0"/>
        <v>1.85</v>
      </c>
      <c r="G30" s="132">
        <v>4</v>
      </c>
      <c r="H30" s="152">
        <f t="shared" si="1"/>
        <v>1.52</v>
      </c>
    </row>
    <row r="31" spans="1:8" ht="16.5" x14ac:dyDescent="0.25">
      <c r="A31" s="128" t="s">
        <v>55</v>
      </c>
      <c r="B31" s="129">
        <v>4</v>
      </c>
      <c r="C31" s="130">
        <v>2.0030000000000001</v>
      </c>
      <c r="D31" s="32">
        <v>25</v>
      </c>
      <c r="E31" s="131">
        <v>3</v>
      </c>
      <c r="F31" s="154">
        <f t="shared" si="0"/>
        <v>1.38</v>
      </c>
      <c r="G31" s="132">
        <v>4</v>
      </c>
      <c r="H31" s="152">
        <f t="shared" si="1"/>
        <v>1.52</v>
      </c>
    </row>
    <row r="32" spans="1:8" ht="16.5" x14ac:dyDescent="0.25">
      <c r="A32" s="128" t="s">
        <v>33</v>
      </c>
      <c r="B32" s="129">
        <v>1</v>
      </c>
      <c r="C32" s="130">
        <v>1.204</v>
      </c>
      <c r="D32" s="32">
        <v>25</v>
      </c>
      <c r="E32" s="131">
        <v>2</v>
      </c>
      <c r="F32" s="154">
        <f t="shared" si="0"/>
        <v>1.08</v>
      </c>
      <c r="G32" s="132">
        <v>1</v>
      </c>
      <c r="H32" s="152">
        <f t="shared" si="1"/>
        <v>0.92</v>
      </c>
    </row>
    <row r="33" spans="1:8" ht="16.5" x14ac:dyDescent="0.25">
      <c r="A33" s="128" t="s">
        <v>60</v>
      </c>
      <c r="B33" s="129">
        <v>6</v>
      </c>
      <c r="C33" s="130">
        <v>2.407</v>
      </c>
      <c r="D33" s="32">
        <v>25</v>
      </c>
      <c r="E33" s="131">
        <v>4</v>
      </c>
      <c r="F33" s="154">
        <f t="shared" si="0"/>
        <v>1.85</v>
      </c>
      <c r="G33" s="132">
        <v>6</v>
      </c>
      <c r="H33" s="152">
        <f t="shared" si="1"/>
        <v>1.83</v>
      </c>
    </row>
    <row r="34" spans="1:8" ht="16.5" x14ac:dyDescent="0.25">
      <c r="A34" s="128" t="s">
        <v>59</v>
      </c>
      <c r="B34" s="129">
        <v>5</v>
      </c>
      <c r="C34" s="130">
        <v>2.2330000000000001</v>
      </c>
      <c r="D34" s="32">
        <v>25</v>
      </c>
      <c r="E34" s="131">
        <v>4</v>
      </c>
      <c r="F34" s="154">
        <f t="shared" si="0"/>
        <v>1.85</v>
      </c>
      <c r="G34" s="132">
        <v>5</v>
      </c>
      <c r="H34" s="152">
        <f t="shared" si="1"/>
        <v>1.7</v>
      </c>
    </row>
    <row r="35" spans="1:8" ht="16.5" x14ac:dyDescent="0.25">
      <c r="A35" s="133" t="s">
        <v>43</v>
      </c>
      <c r="B35" s="129">
        <v>2</v>
      </c>
      <c r="C35" s="130">
        <v>1.4430000000000001</v>
      </c>
      <c r="D35" s="32">
        <v>25</v>
      </c>
      <c r="E35" s="131">
        <v>1</v>
      </c>
      <c r="F35" s="154">
        <f t="shared" si="0"/>
        <v>0.89</v>
      </c>
      <c r="G35" s="132">
        <v>2</v>
      </c>
      <c r="H35" s="152">
        <f t="shared" si="1"/>
        <v>1.1000000000000001</v>
      </c>
    </row>
    <row r="36" spans="1:8" ht="16.5" x14ac:dyDescent="0.25">
      <c r="A36" s="128" t="s">
        <v>56</v>
      </c>
      <c r="B36" s="129">
        <v>4</v>
      </c>
      <c r="C36" s="130">
        <v>2.0030000000000001</v>
      </c>
      <c r="D36" s="32">
        <v>25</v>
      </c>
      <c r="E36" s="131">
        <v>1</v>
      </c>
      <c r="F36" s="154">
        <f t="shared" si="0"/>
        <v>0.89</v>
      </c>
      <c r="G36" s="132">
        <v>4</v>
      </c>
      <c r="H36" s="152">
        <f t="shared" si="1"/>
        <v>1.52</v>
      </c>
    </row>
    <row r="37" spans="1:8" ht="16.5" x14ac:dyDescent="0.25">
      <c r="A37" s="128" t="s">
        <v>57</v>
      </c>
      <c r="B37" s="129">
        <v>4</v>
      </c>
      <c r="C37" s="130">
        <v>2.0030000000000001</v>
      </c>
      <c r="D37" s="32">
        <v>25</v>
      </c>
      <c r="E37" s="131">
        <v>2</v>
      </c>
      <c r="F37" s="154">
        <f t="shared" si="0"/>
        <v>1.08</v>
      </c>
      <c r="G37" s="132">
        <v>4</v>
      </c>
      <c r="H37" s="152">
        <f t="shared" si="1"/>
        <v>1.52</v>
      </c>
    </row>
    <row r="38" spans="1:8" ht="16.5" x14ac:dyDescent="0.25">
      <c r="A38" s="133" t="s">
        <v>44</v>
      </c>
      <c r="B38" s="129">
        <v>2</v>
      </c>
      <c r="C38" s="130">
        <v>1.4430000000000001</v>
      </c>
      <c r="D38" s="32">
        <v>25</v>
      </c>
      <c r="E38" s="131">
        <v>1</v>
      </c>
      <c r="F38" s="154">
        <f t="shared" si="0"/>
        <v>0.89</v>
      </c>
      <c r="G38" s="132">
        <v>2</v>
      </c>
      <c r="H38" s="152">
        <f t="shared" si="1"/>
        <v>1.1000000000000001</v>
      </c>
    </row>
    <row r="39" spans="1:8" ht="16.5" x14ac:dyDescent="0.25">
      <c r="A39" s="133" t="s">
        <v>58</v>
      </c>
      <c r="B39" s="129">
        <v>4</v>
      </c>
      <c r="C39" s="130">
        <v>2.0030000000000001</v>
      </c>
      <c r="D39" s="32">
        <v>25</v>
      </c>
      <c r="E39" s="131">
        <v>1</v>
      </c>
      <c r="F39" s="154">
        <f t="shared" si="0"/>
        <v>0.89</v>
      </c>
      <c r="G39" s="132">
        <v>4</v>
      </c>
      <c r="H39" s="152">
        <f t="shared" si="1"/>
        <v>1.52</v>
      </c>
    </row>
    <row r="40" spans="1:8" ht="16.5" x14ac:dyDescent="0.25">
      <c r="A40" s="133" t="s">
        <v>34</v>
      </c>
      <c r="B40" s="129">
        <v>1</v>
      </c>
      <c r="C40" s="130">
        <v>1.204</v>
      </c>
      <c r="D40" s="32">
        <v>25</v>
      </c>
      <c r="E40" s="131">
        <v>1</v>
      </c>
      <c r="F40" s="154">
        <f t="shared" si="0"/>
        <v>0.89</v>
      </c>
      <c r="G40" s="132">
        <v>1</v>
      </c>
      <c r="H40" s="152">
        <f t="shared" si="1"/>
        <v>0.92</v>
      </c>
    </row>
    <row r="41" spans="1:8" ht="16.5" x14ac:dyDescent="0.25">
      <c r="A41" s="128" t="s">
        <v>61</v>
      </c>
      <c r="B41" s="129">
        <v>6</v>
      </c>
      <c r="C41" s="130">
        <v>2.407</v>
      </c>
      <c r="D41" s="32">
        <v>25</v>
      </c>
      <c r="E41" s="131">
        <v>3</v>
      </c>
      <c r="F41" s="154">
        <f t="shared" si="0"/>
        <v>1.38</v>
      </c>
      <c r="G41" s="132">
        <v>6</v>
      </c>
      <c r="H41" s="152">
        <f t="shared" si="1"/>
        <v>1.83</v>
      </c>
    </row>
    <row r="42" spans="1:8" ht="16.5" x14ac:dyDescent="0.25">
      <c r="A42" s="128" t="s">
        <v>45</v>
      </c>
      <c r="B42" s="129">
        <v>2</v>
      </c>
      <c r="C42" s="130">
        <v>1.4430000000000001</v>
      </c>
      <c r="D42" s="32">
        <v>25</v>
      </c>
      <c r="E42" s="131">
        <v>1</v>
      </c>
      <c r="F42" s="154">
        <f t="shared" si="0"/>
        <v>0.89</v>
      </c>
      <c r="G42" s="132">
        <v>2</v>
      </c>
      <c r="H42" s="152">
        <f t="shared" si="1"/>
        <v>1.1000000000000001</v>
      </c>
    </row>
  </sheetData>
  <autoFilter ref="A1:F42" xr:uid="{F52220D5-BE03-4C8C-9914-AAB8192DC08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C1F59-D3BB-4B48-9674-15F2AD014ED3}">
  <dimension ref="A1:D42"/>
  <sheetViews>
    <sheetView topLeftCell="A5" workbookViewId="0">
      <selection activeCell="J23" sqref="J23"/>
    </sheetView>
  </sheetViews>
  <sheetFormatPr baseColWidth="10" defaultRowHeight="15" x14ac:dyDescent="0.25"/>
  <cols>
    <col min="1" max="1" width="42.7109375" customWidth="1"/>
  </cols>
  <sheetData>
    <row r="1" spans="1:4" ht="33.75" thickBot="1" x14ac:dyDescent="0.3">
      <c r="A1" s="228" t="s">
        <v>24</v>
      </c>
      <c r="B1" s="229" t="s">
        <v>25</v>
      </c>
      <c r="C1" s="51" t="s">
        <v>86</v>
      </c>
      <c r="D1" s="52" t="s">
        <v>87</v>
      </c>
    </row>
    <row r="2" spans="1:4" ht="17.25" thickBot="1" x14ac:dyDescent="0.3">
      <c r="A2" s="53" t="s">
        <v>26</v>
      </c>
      <c r="B2" s="54">
        <v>1</v>
      </c>
      <c r="C2" s="55">
        <v>1.042</v>
      </c>
      <c r="D2" s="56">
        <v>25</v>
      </c>
    </row>
    <row r="3" spans="1:4" ht="17.25" thickBot="1" x14ac:dyDescent="0.3">
      <c r="A3" s="67" t="s">
        <v>49</v>
      </c>
      <c r="B3" s="57">
        <v>1</v>
      </c>
      <c r="C3" s="58">
        <v>1.042</v>
      </c>
      <c r="D3" s="59">
        <v>25</v>
      </c>
    </row>
    <row r="4" spans="1:4" ht="17.25" thickBot="1" x14ac:dyDescent="0.3">
      <c r="A4" s="45" t="s">
        <v>35</v>
      </c>
      <c r="B4" s="63">
        <v>3</v>
      </c>
      <c r="C4" s="60">
        <v>1.4019999999999999</v>
      </c>
      <c r="D4" s="61">
        <v>25</v>
      </c>
    </row>
    <row r="5" spans="1:4" ht="17.25" thickBot="1" x14ac:dyDescent="0.3">
      <c r="A5" s="45" t="s">
        <v>36</v>
      </c>
      <c r="B5" s="63" t="s">
        <v>85</v>
      </c>
      <c r="C5" s="60" t="s">
        <v>85</v>
      </c>
      <c r="D5" s="61" t="s">
        <v>85</v>
      </c>
    </row>
    <row r="6" spans="1:4" ht="17.25" thickBot="1" x14ac:dyDescent="0.3">
      <c r="A6" s="45" t="s">
        <v>37</v>
      </c>
      <c r="B6" s="63">
        <v>3</v>
      </c>
      <c r="C6" s="60">
        <v>1.4019999999999999</v>
      </c>
      <c r="D6" s="61">
        <v>25</v>
      </c>
    </row>
    <row r="7" spans="1:4" ht="17.25" thickBot="1" x14ac:dyDescent="0.3">
      <c r="A7" s="44" t="s">
        <v>27</v>
      </c>
      <c r="B7" s="57">
        <v>1</v>
      </c>
      <c r="C7" s="60">
        <v>1.042</v>
      </c>
      <c r="D7" s="61">
        <v>25</v>
      </c>
    </row>
    <row r="8" spans="1:4" ht="17.25" thickBot="1" x14ac:dyDescent="0.3">
      <c r="A8" s="43" t="s">
        <v>50</v>
      </c>
      <c r="B8" s="57">
        <v>1</v>
      </c>
      <c r="C8" s="60">
        <v>1.042</v>
      </c>
      <c r="D8" s="61">
        <v>25</v>
      </c>
    </row>
    <row r="9" spans="1:4" ht="17.25" thickBot="1" x14ac:dyDescent="0.3">
      <c r="A9" s="36" t="s">
        <v>46</v>
      </c>
      <c r="B9" s="63" t="s">
        <v>85</v>
      </c>
      <c r="C9" s="60" t="s">
        <v>85</v>
      </c>
      <c r="D9" s="61" t="s">
        <v>85</v>
      </c>
    </row>
    <row r="10" spans="1:4" ht="17.25" thickBot="1" x14ac:dyDescent="0.3">
      <c r="A10" s="35" t="s">
        <v>28</v>
      </c>
      <c r="B10" s="57">
        <v>1</v>
      </c>
      <c r="C10" s="60">
        <v>1.042</v>
      </c>
      <c r="D10" s="61">
        <v>25</v>
      </c>
    </row>
    <row r="11" spans="1:4" ht="17.25" thickBot="1" x14ac:dyDescent="0.3">
      <c r="A11" s="45" t="s">
        <v>29</v>
      </c>
      <c r="B11" s="63">
        <v>3</v>
      </c>
      <c r="C11" s="60">
        <v>1.4019999999999999</v>
      </c>
      <c r="D11" s="61">
        <v>25</v>
      </c>
    </row>
    <row r="12" spans="1:4" ht="17.25" thickBot="1" x14ac:dyDescent="0.3">
      <c r="A12" s="45" t="s">
        <v>81</v>
      </c>
      <c r="B12" s="57">
        <v>1</v>
      </c>
      <c r="C12" s="60">
        <v>1.042</v>
      </c>
      <c r="D12" s="61">
        <v>25</v>
      </c>
    </row>
    <row r="13" spans="1:4" ht="17.25" thickBot="1" x14ac:dyDescent="0.3">
      <c r="A13" s="45" t="s">
        <v>38</v>
      </c>
      <c r="B13" s="63">
        <v>2</v>
      </c>
      <c r="C13" s="60">
        <v>1.1919999999999999</v>
      </c>
      <c r="D13" s="61">
        <v>25</v>
      </c>
    </row>
    <row r="14" spans="1:4" ht="17.25" thickBot="1" x14ac:dyDescent="0.3">
      <c r="A14" s="45" t="s">
        <v>30</v>
      </c>
      <c r="B14" s="57">
        <v>1</v>
      </c>
      <c r="C14" s="60">
        <v>1.042</v>
      </c>
      <c r="D14" s="61">
        <v>25</v>
      </c>
    </row>
    <row r="15" spans="1:4" ht="17.25" thickBot="1" x14ac:dyDescent="0.3">
      <c r="A15" s="45" t="s">
        <v>51</v>
      </c>
      <c r="B15" s="57">
        <v>1</v>
      </c>
      <c r="C15" s="60">
        <v>1.042</v>
      </c>
      <c r="D15" s="61">
        <v>25</v>
      </c>
    </row>
    <row r="16" spans="1:4" ht="17.25" thickBot="1" x14ac:dyDescent="0.3">
      <c r="A16" s="85" t="s">
        <v>84</v>
      </c>
      <c r="B16" s="63">
        <v>4</v>
      </c>
      <c r="C16" s="60">
        <v>1.675</v>
      </c>
      <c r="D16" s="61">
        <v>25</v>
      </c>
    </row>
    <row r="17" spans="1:4" ht="17.25" thickBot="1" x14ac:dyDescent="0.3">
      <c r="A17" s="45" t="s">
        <v>31</v>
      </c>
      <c r="B17" s="57">
        <v>1</v>
      </c>
      <c r="C17" s="60">
        <v>1.042</v>
      </c>
      <c r="D17" s="61">
        <v>25</v>
      </c>
    </row>
    <row r="18" spans="1:4" ht="17.25" thickBot="1" x14ac:dyDescent="0.3">
      <c r="A18" s="45" t="s">
        <v>39</v>
      </c>
      <c r="B18" s="63" t="s">
        <v>85</v>
      </c>
      <c r="C18" s="60" t="s">
        <v>85</v>
      </c>
      <c r="D18" s="61" t="s">
        <v>85</v>
      </c>
    </row>
    <row r="19" spans="1:4" ht="17.25" thickBot="1" x14ac:dyDescent="0.3">
      <c r="A19" s="45" t="s">
        <v>40</v>
      </c>
      <c r="B19" s="57">
        <v>1</v>
      </c>
      <c r="C19" s="60">
        <v>1.042</v>
      </c>
      <c r="D19" s="61">
        <v>25</v>
      </c>
    </row>
    <row r="20" spans="1:4" ht="17.25" thickBot="1" x14ac:dyDescent="0.3">
      <c r="A20" s="35" t="s">
        <v>41</v>
      </c>
      <c r="B20" s="63">
        <v>2</v>
      </c>
      <c r="C20" s="60">
        <v>1.1919999999999999</v>
      </c>
      <c r="D20" s="61">
        <v>25</v>
      </c>
    </row>
    <row r="21" spans="1:4" ht="17.25" thickBot="1" x14ac:dyDescent="0.3">
      <c r="A21" s="45" t="s">
        <v>47</v>
      </c>
      <c r="B21" s="63">
        <v>5</v>
      </c>
      <c r="C21" s="60">
        <v>2.1</v>
      </c>
      <c r="D21" s="61">
        <v>25</v>
      </c>
    </row>
    <row r="22" spans="1:4" ht="17.25" thickBot="1" x14ac:dyDescent="0.3">
      <c r="A22" s="45" t="s">
        <v>53</v>
      </c>
      <c r="B22" s="57">
        <v>1</v>
      </c>
      <c r="C22" s="60">
        <v>1.042</v>
      </c>
      <c r="D22" s="61">
        <v>25</v>
      </c>
    </row>
    <row r="23" spans="1:4" ht="17.25" thickBot="1" x14ac:dyDescent="0.3">
      <c r="A23" s="34" t="s">
        <v>64</v>
      </c>
      <c r="B23" s="63">
        <v>2</v>
      </c>
      <c r="C23" s="60">
        <v>1.1919999999999999</v>
      </c>
      <c r="D23" s="61">
        <v>25</v>
      </c>
    </row>
    <row r="24" spans="1:4" ht="17.25" thickBot="1" x14ac:dyDescent="0.3">
      <c r="A24" s="34" t="s">
        <v>65</v>
      </c>
      <c r="B24" s="57">
        <v>0</v>
      </c>
      <c r="C24" s="65">
        <v>1.7609999999999999</v>
      </c>
      <c r="D24" s="66">
        <v>118.429</v>
      </c>
    </row>
    <row r="25" spans="1:4" ht="17.25" thickBot="1" x14ac:dyDescent="0.3">
      <c r="A25" s="40" t="s">
        <v>32</v>
      </c>
      <c r="B25" s="81">
        <v>1</v>
      </c>
      <c r="C25" s="58">
        <v>1.042</v>
      </c>
      <c r="D25" s="59">
        <v>25</v>
      </c>
    </row>
    <row r="26" spans="1:4" ht="17.25" thickBot="1" x14ac:dyDescent="0.3">
      <c r="A26" s="41" t="s">
        <v>66</v>
      </c>
      <c r="B26" s="81">
        <v>1</v>
      </c>
      <c r="C26" s="60">
        <v>1.042</v>
      </c>
      <c r="D26" s="61">
        <v>25</v>
      </c>
    </row>
    <row r="27" spans="1:4" ht="17.25" thickBot="1" x14ac:dyDescent="0.3">
      <c r="A27" s="41" t="s">
        <v>48</v>
      </c>
      <c r="B27" s="68">
        <v>2</v>
      </c>
      <c r="C27" s="69">
        <v>1.1919999999999999</v>
      </c>
      <c r="D27" s="70">
        <v>25</v>
      </c>
    </row>
    <row r="28" spans="1:4" ht="17.25" thickBot="1" x14ac:dyDescent="0.3">
      <c r="A28" s="42" t="s">
        <v>67</v>
      </c>
      <c r="B28" s="68">
        <v>2</v>
      </c>
      <c r="C28" s="60">
        <v>1.1919999999999999</v>
      </c>
      <c r="D28" s="61">
        <v>25</v>
      </c>
    </row>
    <row r="29" spans="1:4" ht="17.25" thickBot="1" x14ac:dyDescent="0.3">
      <c r="A29" s="45" t="s">
        <v>42</v>
      </c>
      <c r="B29" s="81">
        <v>1</v>
      </c>
      <c r="C29" s="60">
        <v>1.042</v>
      </c>
      <c r="D29" s="61">
        <v>25</v>
      </c>
    </row>
    <row r="30" spans="1:4" ht="17.25" thickBot="1" x14ac:dyDescent="0.3">
      <c r="A30" s="45" t="s">
        <v>54</v>
      </c>
      <c r="B30" s="81">
        <v>1</v>
      </c>
      <c r="C30" s="60">
        <v>1.042</v>
      </c>
      <c r="D30" s="61">
        <v>25</v>
      </c>
    </row>
    <row r="31" spans="1:4" ht="17.25" thickBot="1" x14ac:dyDescent="0.3">
      <c r="A31" s="64" t="s">
        <v>55</v>
      </c>
      <c r="B31" s="68">
        <v>2</v>
      </c>
      <c r="C31" s="65">
        <v>1.1919999999999999</v>
      </c>
      <c r="D31" s="66">
        <v>25</v>
      </c>
    </row>
    <row r="32" spans="1:4" ht="17.25" thickBot="1" x14ac:dyDescent="0.3">
      <c r="A32" s="40" t="s">
        <v>33</v>
      </c>
      <c r="B32" s="82">
        <v>1</v>
      </c>
      <c r="C32" s="73">
        <v>1.042</v>
      </c>
      <c r="D32" s="59">
        <v>25</v>
      </c>
    </row>
    <row r="33" spans="1:4" ht="17.25" thickBot="1" x14ac:dyDescent="0.3">
      <c r="A33" s="45" t="s">
        <v>60</v>
      </c>
      <c r="B33" s="72">
        <v>3</v>
      </c>
      <c r="C33" s="38">
        <v>1.4019999999999999</v>
      </c>
      <c r="D33" s="75">
        <v>25</v>
      </c>
    </row>
    <row r="34" spans="1:4" ht="17.25" thickBot="1" x14ac:dyDescent="0.3">
      <c r="A34" s="41" t="s">
        <v>59</v>
      </c>
      <c r="B34" s="72">
        <v>5</v>
      </c>
      <c r="C34" s="33">
        <v>2.1</v>
      </c>
      <c r="D34" s="33">
        <v>25</v>
      </c>
    </row>
    <row r="35" spans="1:4" ht="17.25" thickBot="1" x14ac:dyDescent="0.3">
      <c r="A35" s="42" t="s">
        <v>43</v>
      </c>
      <c r="B35" s="72">
        <v>2</v>
      </c>
      <c r="C35" s="38">
        <v>1.1919999999999999</v>
      </c>
      <c r="D35" s="75">
        <v>25</v>
      </c>
    </row>
    <row r="36" spans="1:4" ht="17.25" thickBot="1" x14ac:dyDescent="0.3">
      <c r="A36" s="62" t="s">
        <v>82</v>
      </c>
      <c r="B36" s="82">
        <v>1</v>
      </c>
      <c r="C36" s="74">
        <v>1.042</v>
      </c>
      <c r="D36" s="61">
        <v>25</v>
      </c>
    </row>
    <row r="37" spans="1:4" ht="17.25" thickBot="1" x14ac:dyDescent="0.3">
      <c r="A37" s="45" t="s">
        <v>57</v>
      </c>
      <c r="B37" s="72">
        <v>3</v>
      </c>
      <c r="C37" s="74">
        <v>1.4019999999999999</v>
      </c>
      <c r="D37" s="61">
        <v>25</v>
      </c>
    </row>
    <row r="38" spans="1:4" ht="17.25" thickBot="1" x14ac:dyDescent="0.3">
      <c r="A38" s="64" t="s">
        <v>44</v>
      </c>
      <c r="B38" s="82">
        <v>1</v>
      </c>
      <c r="C38" s="76">
        <v>1.042</v>
      </c>
      <c r="D38" s="66">
        <v>25</v>
      </c>
    </row>
    <row r="39" spans="1:4" ht="17.25" thickBot="1" x14ac:dyDescent="0.3">
      <c r="A39" s="77" t="s">
        <v>83</v>
      </c>
      <c r="B39" s="84">
        <v>1</v>
      </c>
      <c r="C39" s="55">
        <v>1.042</v>
      </c>
      <c r="D39" s="56">
        <v>25</v>
      </c>
    </row>
    <row r="40" spans="1:4" ht="16.5" x14ac:dyDescent="0.25">
      <c r="A40" s="39" t="s">
        <v>34</v>
      </c>
      <c r="B40" s="83">
        <v>1</v>
      </c>
      <c r="C40" s="71">
        <v>1.042</v>
      </c>
      <c r="D40" s="70">
        <v>25</v>
      </c>
    </row>
    <row r="41" spans="1:4" ht="16.5" x14ac:dyDescent="0.25">
      <c r="A41" s="35" t="s">
        <v>61</v>
      </c>
      <c r="B41" s="78">
        <v>5</v>
      </c>
      <c r="C41" s="60">
        <v>2.1</v>
      </c>
      <c r="D41" s="61">
        <v>25</v>
      </c>
    </row>
    <row r="42" spans="1:4" ht="17.25" thickBot="1" x14ac:dyDescent="0.3">
      <c r="A42" s="37" t="s">
        <v>45</v>
      </c>
      <c r="B42" s="79">
        <v>2</v>
      </c>
      <c r="C42" s="65">
        <v>1.1919999999999999</v>
      </c>
      <c r="D42" s="66">
        <v>25</v>
      </c>
    </row>
  </sheetData>
  <autoFilter ref="A1:E42" xr:uid="{AD6C1F59-D3BB-4B48-9674-15F2AD014E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F7E6-14A4-4EDA-9CCD-29768FAE4A0C}">
  <sheetPr>
    <pageSetUpPr fitToPage="1"/>
  </sheetPr>
  <dimension ref="A1:O49"/>
  <sheetViews>
    <sheetView zoomScale="90" zoomScaleNormal="90" workbookViewId="0">
      <selection activeCell="J23" sqref="J23"/>
    </sheetView>
  </sheetViews>
  <sheetFormatPr baseColWidth="10" defaultRowHeight="18" x14ac:dyDescent="0.35"/>
  <cols>
    <col min="1" max="1" width="41.28515625" style="208" customWidth="1"/>
    <col min="2" max="5" width="11.140625" style="209" customWidth="1"/>
    <col min="6" max="7" width="12.140625" style="210" customWidth="1"/>
    <col min="8" max="8" width="15.28515625" style="210" customWidth="1"/>
    <col min="9" max="10" width="11.140625" style="209" customWidth="1"/>
    <col min="11" max="11" width="15.140625" style="209" customWidth="1"/>
    <col min="12" max="13" width="11.42578125" style="209"/>
    <col min="14" max="14" width="11.42578125" style="210"/>
    <col min="15" max="15" width="11.42578125" style="209"/>
    <col min="16" max="16384" width="11.42578125" style="167"/>
  </cols>
  <sheetData>
    <row r="1" spans="1:15" ht="51" customHeight="1" thickBot="1" x14ac:dyDescent="0.3">
      <c r="A1" s="158" t="s">
        <v>124</v>
      </c>
      <c r="B1" s="159" t="s">
        <v>105</v>
      </c>
      <c r="C1" s="159" t="s">
        <v>106</v>
      </c>
      <c r="D1" s="159" t="s">
        <v>107</v>
      </c>
      <c r="E1" s="160" t="s">
        <v>108</v>
      </c>
      <c r="F1" s="161" t="s">
        <v>109</v>
      </c>
      <c r="G1" s="161" t="s">
        <v>110</v>
      </c>
      <c r="H1" s="161" t="s">
        <v>119</v>
      </c>
      <c r="I1" s="162" t="s">
        <v>112</v>
      </c>
      <c r="J1" s="162" t="s">
        <v>113</v>
      </c>
      <c r="K1" s="162" t="s">
        <v>121</v>
      </c>
      <c r="L1" s="163" t="s">
        <v>115</v>
      </c>
      <c r="M1" s="164" t="s">
        <v>116</v>
      </c>
      <c r="N1" s="165" t="s">
        <v>117</v>
      </c>
      <c r="O1" s="166" t="s">
        <v>118</v>
      </c>
    </row>
    <row r="2" spans="1:15" x14ac:dyDescent="0.35">
      <c r="A2" s="168" t="s">
        <v>26</v>
      </c>
      <c r="B2" s="169">
        <v>1.996</v>
      </c>
      <c r="C2" s="170">
        <f>B2*1.055</f>
        <v>2.1057799999999998</v>
      </c>
      <c r="D2" s="171">
        <v>112.11</v>
      </c>
      <c r="E2" s="172">
        <f>D2*1.055</f>
        <v>118.27605</v>
      </c>
      <c r="F2" s="173">
        <v>1.85</v>
      </c>
      <c r="G2" s="170">
        <f>F2*1.055</f>
        <v>1.9517499999999999</v>
      </c>
      <c r="H2" s="277" t="s">
        <v>120</v>
      </c>
      <c r="I2" s="174">
        <v>1.52</v>
      </c>
      <c r="J2" s="170">
        <f>I2*1.055</f>
        <v>1.6035999999999999</v>
      </c>
      <c r="K2" s="280" t="s">
        <v>123</v>
      </c>
      <c r="L2" s="175">
        <v>1.042</v>
      </c>
      <c r="M2" s="176">
        <f>L2*1.1</f>
        <v>1.1462000000000001</v>
      </c>
      <c r="N2" s="177">
        <v>25</v>
      </c>
      <c r="O2" s="178">
        <f>N2*1.1</f>
        <v>27.500000000000004</v>
      </c>
    </row>
    <row r="3" spans="1:15" ht="15.75" customHeight="1" x14ac:dyDescent="0.35">
      <c r="A3" s="179" t="s">
        <v>49</v>
      </c>
      <c r="B3" s="180">
        <v>2.0030000000000001</v>
      </c>
      <c r="C3" s="181">
        <f t="shared" ref="C3:C42" si="0">B3*1.055</f>
        <v>2.113165</v>
      </c>
      <c r="D3" s="182">
        <v>25</v>
      </c>
      <c r="E3" s="183">
        <f t="shared" ref="E3:E42" si="1">D3*1.055</f>
        <v>26.375</v>
      </c>
      <c r="F3" s="184">
        <v>1.08</v>
      </c>
      <c r="G3" s="181">
        <f t="shared" ref="G3:G42" si="2">F3*1.055</f>
        <v>1.1394</v>
      </c>
      <c r="H3" s="278"/>
      <c r="I3" s="185">
        <v>1.52</v>
      </c>
      <c r="J3" s="181">
        <f t="shared" ref="J3:J42" si="3">I3*1.055</f>
        <v>1.6035999999999999</v>
      </c>
      <c r="K3" s="281"/>
      <c r="L3" s="186">
        <v>1.042</v>
      </c>
      <c r="M3" s="187">
        <f t="shared" ref="M3:M42" si="4">L3*1.1</f>
        <v>1.1462000000000001</v>
      </c>
      <c r="N3" s="188">
        <v>25</v>
      </c>
      <c r="O3" s="189">
        <f t="shared" ref="O3:O42" si="5">N3*1.1</f>
        <v>27.500000000000004</v>
      </c>
    </row>
    <row r="4" spans="1:15" ht="15.75" customHeight="1" x14ac:dyDescent="0.35">
      <c r="A4" s="190" t="s">
        <v>35</v>
      </c>
      <c r="B4" s="180">
        <v>1.4430000000000001</v>
      </c>
      <c r="C4" s="181">
        <f t="shared" si="0"/>
        <v>1.522365</v>
      </c>
      <c r="D4" s="182">
        <v>25</v>
      </c>
      <c r="E4" s="183">
        <f t="shared" si="1"/>
        <v>26.375</v>
      </c>
      <c r="F4" s="184">
        <v>1.08</v>
      </c>
      <c r="G4" s="181">
        <f t="shared" si="2"/>
        <v>1.1394</v>
      </c>
      <c r="H4" s="278"/>
      <c r="I4" s="185">
        <v>1.1000000000000001</v>
      </c>
      <c r="J4" s="181">
        <f t="shared" si="3"/>
        <v>1.1605000000000001</v>
      </c>
      <c r="K4" s="281"/>
      <c r="L4" s="186">
        <v>1.4019999999999999</v>
      </c>
      <c r="M4" s="187">
        <f t="shared" si="4"/>
        <v>1.5422</v>
      </c>
      <c r="N4" s="188">
        <v>25</v>
      </c>
      <c r="O4" s="189">
        <f t="shared" si="5"/>
        <v>27.500000000000004</v>
      </c>
    </row>
    <row r="5" spans="1:15" ht="15.75" customHeight="1" x14ac:dyDescent="0.35">
      <c r="A5" s="179" t="s">
        <v>36</v>
      </c>
      <c r="B5" s="180">
        <v>1.4430000000000001</v>
      </c>
      <c r="C5" s="181">
        <f t="shared" si="0"/>
        <v>1.522365</v>
      </c>
      <c r="D5" s="182">
        <v>25</v>
      </c>
      <c r="E5" s="183">
        <f t="shared" si="1"/>
        <v>26.375</v>
      </c>
      <c r="F5" s="184">
        <v>0.89</v>
      </c>
      <c r="G5" s="181">
        <f t="shared" si="2"/>
        <v>0.93894999999999995</v>
      </c>
      <c r="H5" s="278"/>
      <c r="I5" s="185">
        <v>1.1000000000000001</v>
      </c>
      <c r="J5" s="181">
        <f t="shared" si="3"/>
        <v>1.1605000000000001</v>
      </c>
      <c r="K5" s="281"/>
      <c r="L5" s="186" t="s">
        <v>85</v>
      </c>
      <c r="M5" s="187" t="s">
        <v>103</v>
      </c>
      <c r="N5" s="188" t="s">
        <v>85</v>
      </c>
      <c r="O5" s="189" t="s">
        <v>103</v>
      </c>
    </row>
    <row r="6" spans="1:15" ht="15.75" customHeight="1" x14ac:dyDescent="0.35">
      <c r="A6" s="179" t="s">
        <v>37</v>
      </c>
      <c r="B6" s="180">
        <v>1.4430000000000001</v>
      </c>
      <c r="C6" s="181">
        <f t="shared" si="0"/>
        <v>1.522365</v>
      </c>
      <c r="D6" s="182">
        <v>25</v>
      </c>
      <c r="E6" s="183">
        <f t="shared" si="1"/>
        <v>26.375</v>
      </c>
      <c r="F6" s="184">
        <v>1.08</v>
      </c>
      <c r="G6" s="181">
        <f t="shared" si="2"/>
        <v>1.1394</v>
      </c>
      <c r="H6" s="278"/>
      <c r="I6" s="185">
        <v>1.1000000000000001</v>
      </c>
      <c r="J6" s="181">
        <f t="shared" si="3"/>
        <v>1.1605000000000001</v>
      </c>
      <c r="K6" s="281"/>
      <c r="L6" s="186">
        <v>1.4019999999999999</v>
      </c>
      <c r="M6" s="187">
        <f t="shared" si="4"/>
        <v>1.5422</v>
      </c>
      <c r="N6" s="188">
        <v>25</v>
      </c>
      <c r="O6" s="189">
        <f t="shared" si="5"/>
        <v>27.500000000000004</v>
      </c>
    </row>
    <row r="7" spans="1:15" ht="15.75" customHeight="1" x14ac:dyDescent="0.35">
      <c r="A7" s="190" t="s">
        <v>125</v>
      </c>
      <c r="B7" s="180">
        <v>1.204</v>
      </c>
      <c r="C7" s="181">
        <f t="shared" si="0"/>
        <v>1.2702199999999999</v>
      </c>
      <c r="D7" s="182">
        <v>25</v>
      </c>
      <c r="E7" s="183">
        <f t="shared" si="1"/>
        <v>26.375</v>
      </c>
      <c r="F7" s="184">
        <v>0.89</v>
      </c>
      <c r="G7" s="181">
        <f t="shared" si="2"/>
        <v>0.93894999999999995</v>
      </c>
      <c r="H7" s="278"/>
      <c r="I7" s="185">
        <v>0.92</v>
      </c>
      <c r="J7" s="181">
        <f t="shared" si="3"/>
        <v>0.97060000000000002</v>
      </c>
      <c r="K7" s="281"/>
      <c r="L7" s="186">
        <v>1.042</v>
      </c>
      <c r="M7" s="187">
        <f t="shared" si="4"/>
        <v>1.1462000000000001</v>
      </c>
      <c r="N7" s="188">
        <v>25</v>
      </c>
      <c r="O7" s="189">
        <f t="shared" si="5"/>
        <v>27.500000000000004</v>
      </c>
    </row>
    <row r="8" spans="1:15" ht="15.75" customHeight="1" x14ac:dyDescent="0.35">
      <c r="A8" s="190" t="s">
        <v>126</v>
      </c>
      <c r="B8" s="180">
        <v>2.0033400000000001</v>
      </c>
      <c r="C8" s="181">
        <f t="shared" si="0"/>
        <v>2.1135237</v>
      </c>
      <c r="D8" s="182">
        <v>25</v>
      </c>
      <c r="E8" s="183">
        <f t="shared" si="1"/>
        <v>26.375</v>
      </c>
      <c r="F8" s="184">
        <v>0.89</v>
      </c>
      <c r="G8" s="181">
        <f t="shared" si="2"/>
        <v>0.93894999999999995</v>
      </c>
      <c r="H8" s="278"/>
      <c r="I8" s="185">
        <v>1.52</v>
      </c>
      <c r="J8" s="181">
        <f t="shared" si="3"/>
        <v>1.6035999999999999</v>
      </c>
      <c r="K8" s="281"/>
      <c r="L8" s="186">
        <v>1.042</v>
      </c>
      <c r="M8" s="187">
        <f t="shared" si="4"/>
        <v>1.1462000000000001</v>
      </c>
      <c r="N8" s="188">
        <v>25</v>
      </c>
      <c r="O8" s="189">
        <f t="shared" si="5"/>
        <v>27.500000000000004</v>
      </c>
    </row>
    <row r="9" spans="1:15" ht="15.75" customHeight="1" x14ac:dyDescent="0.35">
      <c r="A9" s="190" t="s">
        <v>127</v>
      </c>
      <c r="B9" s="180">
        <v>1.796</v>
      </c>
      <c r="C9" s="181">
        <f t="shared" si="0"/>
        <v>1.8947799999999999</v>
      </c>
      <c r="D9" s="182">
        <v>25</v>
      </c>
      <c r="E9" s="183">
        <f t="shared" si="1"/>
        <v>26.375</v>
      </c>
      <c r="F9" s="184">
        <v>0.89</v>
      </c>
      <c r="G9" s="181">
        <f t="shared" si="2"/>
        <v>0.93894999999999995</v>
      </c>
      <c r="H9" s="278"/>
      <c r="I9" s="185">
        <v>1.37</v>
      </c>
      <c r="J9" s="181">
        <f t="shared" si="3"/>
        <v>1.4453500000000001</v>
      </c>
      <c r="K9" s="281"/>
      <c r="L9" s="186" t="s">
        <v>85</v>
      </c>
      <c r="M9" s="187" t="s">
        <v>103</v>
      </c>
      <c r="N9" s="188" t="s">
        <v>85</v>
      </c>
      <c r="O9" s="189" t="s">
        <v>103</v>
      </c>
    </row>
    <row r="10" spans="1:15" ht="15" customHeight="1" x14ac:dyDescent="0.25">
      <c r="A10" s="179" t="s">
        <v>128</v>
      </c>
      <c r="B10" s="180">
        <v>1.204</v>
      </c>
      <c r="C10" s="181">
        <f t="shared" si="0"/>
        <v>1.2702199999999999</v>
      </c>
      <c r="D10" s="182">
        <v>25</v>
      </c>
      <c r="E10" s="183">
        <f t="shared" si="1"/>
        <v>26.375</v>
      </c>
      <c r="F10" s="184">
        <v>0.89</v>
      </c>
      <c r="G10" s="181">
        <f t="shared" si="2"/>
        <v>0.93894999999999995</v>
      </c>
      <c r="H10" s="278"/>
      <c r="I10" s="185">
        <v>0.92</v>
      </c>
      <c r="J10" s="181">
        <f t="shared" si="3"/>
        <v>0.97060000000000002</v>
      </c>
      <c r="K10" s="281"/>
      <c r="L10" s="186">
        <v>1.042</v>
      </c>
      <c r="M10" s="181">
        <f t="shared" si="4"/>
        <v>1.1462000000000001</v>
      </c>
      <c r="N10" s="188">
        <v>25</v>
      </c>
      <c r="O10" s="191">
        <f t="shared" si="5"/>
        <v>27.500000000000004</v>
      </c>
    </row>
    <row r="11" spans="1:15" ht="15.75" customHeight="1" x14ac:dyDescent="0.35">
      <c r="A11" s="179" t="s">
        <v>29</v>
      </c>
      <c r="B11" s="180">
        <v>1.204</v>
      </c>
      <c r="C11" s="181">
        <f t="shared" si="0"/>
        <v>1.2702199999999999</v>
      </c>
      <c r="D11" s="182">
        <v>25</v>
      </c>
      <c r="E11" s="183">
        <f t="shared" si="1"/>
        <v>26.375</v>
      </c>
      <c r="F11" s="184">
        <v>0.89</v>
      </c>
      <c r="G11" s="181">
        <f t="shared" si="2"/>
        <v>0.93894999999999995</v>
      </c>
      <c r="H11" s="278"/>
      <c r="I11" s="185">
        <v>0.92</v>
      </c>
      <c r="J11" s="181">
        <f t="shared" si="3"/>
        <v>0.97060000000000002</v>
      </c>
      <c r="K11" s="281"/>
      <c r="L11" s="186">
        <v>1.4019999999999999</v>
      </c>
      <c r="M11" s="187">
        <f t="shared" si="4"/>
        <v>1.5422</v>
      </c>
      <c r="N11" s="188">
        <v>25</v>
      </c>
      <c r="O11" s="189">
        <f t="shared" si="5"/>
        <v>27.500000000000004</v>
      </c>
    </row>
    <row r="12" spans="1:15" ht="15.75" customHeight="1" x14ac:dyDescent="0.35">
      <c r="A12" s="192" t="s">
        <v>81</v>
      </c>
      <c r="B12" s="180">
        <v>1.204</v>
      </c>
      <c r="C12" s="181">
        <f t="shared" si="0"/>
        <v>1.2702199999999999</v>
      </c>
      <c r="D12" s="182">
        <v>25</v>
      </c>
      <c r="E12" s="183">
        <f t="shared" si="1"/>
        <v>26.375</v>
      </c>
      <c r="F12" s="184">
        <v>0.89</v>
      </c>
      <c r="G12" s="181">
        <f t="shared" si="2"/>
        <v>0.93894999999999995</v>
      </c>
      <c r="H12" s="278"/>
      <c r="I12" s="185">
        <v>0.92</v>
      </c>
      <c r="J12" s="181">
        <f t="shared" si="3"/>
        <v>0.97060000000000002</v>
      </c>
      <c r="K12" s="281"/>
      <c r="L12" s="186">
        <v>1.042</v>
      </c>
      <c r="M12" s="187">
        <f t="shared" si="4"/>
        <v>1.1462000000000001</v>
      </c>
      <c r="N12" s="188">
        <v>25</v>
      </c>
      <c r="O12" s="189">
        <f t="shared" si="5"/>
        <v>27.500000000000004</v>
      </c>
    </row>
    <row r="13" spans="1:15" ht="15.75" customHeight="1" x14ac:dyDescent="0.35">
      <c r="A13" s="179" t="s">
        <v>38</v>
      </c>
      <c r="B13" s="180">
        <v>1.4430000000000001</v>
      </c>
      <c r="C13" s="181">
        <f t="shared" si="0"/>
        <v>1.522365</v>
      </c>
      <c r="D13" s="182">
        <v>25</v>
      </c>
      <c r="E13" s="183">
        <f t="shared" si="1"/>
        <v>26.375</v>
      </c>
      <c r="F13" s="184">
        <v>0.89</v>
      </c>
      <c r="G13" s="181">
        <f t="shared" si="2"/>
        <v>0.93894999999999995</v>
      </c>
      <c r="H13" s="278"/>
      <c r="I13" s="185">
        <v>1.1000000000000001</v>
      </c>
      <c r="J13" s="181">
        <f t="shared" si="3"/>
        <v>1.1605000000000001</v>
      </c>
      <c r="K13" s="281"/>
      <c r="L13" s="186">
        <v>1.1919999999999999</v>
      </c>
      <c r="M13" s="187">
        <f t="shared" si="4"/>
        <v>1.3112000000000001</v>
      </c>
      <c r="N13" s="188">
        <v>25</v>
      </c>
      <c r="O13" s="189">
        <f t="shared" si="5"/>
        <v>27.500000000000004</v>
      </c>
    </row>
    <row r="14" spans="1:15" ht="15.75" customHeight="1" x14ac:dyDescent="0.35">
      <c r="A14" s="179" t="s">
        <v>30</v>
      </c>
      <c r="B14" s="180">
        <v>1.20408</v>
      </c>
      <c r="C14" s="181">
        <f t="shared" si="0"/>
        <v>1.2703043999999999</v>
      </c>
      <c r="D14" s="182">
        <v>25</v>
      </c>
      <c r="E14" s="183">
        <f t="shared" si="1"/>
        <v>26.375</v>
      </c>
      <c r="F14" s="184">
        <v>0.89</v>
      </c>
      <c r="G14" s="181">
        <f t="shared" si="2"/>
        <v>0.93894999999999995</v>
      </c>
      <c r="H14" s="278"/>
      <c r="I14" s="185">
        <v>0.92</v>
      </c>
      <c r="J14" s="181">
        <f t="shared" si="3"/>
        <v>0.97060000000000002</v>
      </c>
      <c r="K14" s="281"/>
      <c r="L14" s="186">
        <v>1.042</v>
      </c>
      <c r="M14" s="187">
        <f t="shared" si="4"/>
        <v>1.1462000000000001</v>
      </c>
      <c r="N14" s="188">
        <v>25</v>
      </c>
      <c r="O14" s="189">
        <f t="shared" si="5"/>
        <v>27.500000000000004</v>
      </c>
    </row>
    <row r="15" spans="1:15" ht="15.75" customHeight="1" x14ac:dyDescent="0.35">
      <c r="A15" s="190" t="s">
        <v>51</v>
      </c>
      <c r="B15" s="180">
        <v>2.0030000000000001</v>
      </c>
      <c r="C15" s="181">
        <f t="shared" si="0"/>
        <v>2.113165</v>
      </c>
      <c r="D15" s="182">
        <v>25</v>
      </c>
      <c r="E15" s="183">
        <f t="shared" si="1"/>
        <v>26.375</v>
      </c>
      <c r="F15" s="184">
        <v>0.89</v>
      </c>
      <c r="G15" s="181">
        <f t="shared" si="2"/>
        <v>0.93894999999999995</v>
      </c>
      <c r="H15" s="278"/>
      <c r="I15" s="185">
        <v>1.52</v>
      </c>
      <c r="J15" s="181">
        <f t="shared" si="3"/>
        <v>1.6035999999999999</v>
      </c>
      <c r="K15" s="281"/>
      <c r="L15" s="186">
        <v>1.042</v>
      </c>
      <c r="M15" s="187">
        <f t="shared" si="4"/>
        <v>1.1462000000000001</v>
      </c>
      <c r="N15" s="188">
        <v>25</v>
      </c>
      <c r="O15" s="189">
        <f t="shared" si="5"/>
        <v>27.500000000000004</v>
      </c>
    </row>
    <row r="16" spans="1:15" ht="15.75" customHeight="1" x14ac:dyDescent="0.35">
      <c r="A16" s="179" t="s">
        <v>129</v>
      </c>
      <c r="B16" s="180">
        <v>2.0030000000000001</v>
      </c>
      <c r="C16" s="181">
        <f t="shared" si="0"/>
        <v>2.113165</v>
      </c>
      <c r="D16" s="182">
        <v>25</v>
      </c>
      <c r="E16" s="183">
        <f t="shared" si="1"/>
        <v>26.375</v>
      </c>
      <c r="F16" s="184">
        <v>1.08</v>
      </c>
      <c r="G16" s="181">
        <f t="shared" si="2"/>
        <v>1.1394</v>
      </c>
      <c r="H16" s="278"/>
      <c r="I16" s="185">
        <v>1.52</v>
      </c>
      <c r="J16" s="181">
        <f t="shared" si="3"/>
        <v>1.6035999999999999</v>
      </c>
      <c r="K16" s="281"/>
      <c r="L16" s="186">
        <v>1.675</v>
      </c>
      <c r="M16" s="187">
        <f t="shared" si="4"/>
        <v>1.8425000000000002</v>
      </c>
      <c r="N16" s="188">
        <v>25</v>
      </c>
      <c r="O16" s="189">
        <f t="shared" si="5"/>
        <v>27.500000000000004</v>
      </c>
    </row>
    <row r="17" spans="1:15" ht="15.75" customHeight="1" x14ac:dyDescent="0.35">
      <c r="A17" s="190" t="s">
        <v>31</v>
      </c>
      <c r="B17" s="180">
        <v>1.204</v>
      </c>
      <c r="C17" s="181">
        <f t="shared" si="0"/>
        <v>1.2702199999999999</v>
      </c>
      <c r="D17" s="182">
        <v>25</v>
      </c>
      <c r="E17" s="183">
        <f t="shared" si="1"/>
        <v>26.375</v>
      </c>
      <c r="F17" s="184">
        <v>0.89</v>
      </c>
      <c r="G17" s="181">
        <f t="shared" si="2"/>
        <v>0.93894999999999995</v>
      </c>
      <c r="H17" s="278"/>
      <c r="I17" s="185">
        <v>0.92</v>
      </c>
      <c r="J17" s="181">
        <f t="shared" si="3"/>
        <v>0.97060000000000002</v>
      </c>
      <c r="K17" s="281"/>
      <c r="L17" s="186">
        <v>1.042</v>
      </c>
      <c r="M17" s="187">
        <f t="shared" si="4"/>
        <v>1.1462000000000001</v>
      </c>
      <c r="N17" s="188">
        <v>25</v>
      </c>
      <c r="O17" s="189">
        <f t="shared" si="5"/>
        <v>27.500000000000004</v>
      </c>
    </row>
    <row r="18" spans="1:15" ht="15.75" customHeight="1" x14ac:dyDescent="0.35">
      <c r="A18" s="179" t="s">
        <v>39</v>
      </c>
      <c r="B18" s="180">
        <v>1.4430000000000001</v>
      </c>
      <c r="C18" s="181">
        <f t="shared" si="0"/>
        <v>1.522365</v>
      </c>
      <c r="D18" s="182">
        <v>25</v>
      </c>
      <c r="E18" s="183">
        <f t="shared" si="1"/>
        <v>26.375</v>
      </c>
      <c r="F18" s="184">
        <v>0.89</v>
      </c>
      <c r="G18" s="181">
        <f t="shared" si="2"/>
        <v>0.93894999999999995</v>
      </c>
      <c r="H18" s="278"/>
      <c r="I18" s="185">
        <v>1.1000000000000001</v>
      </c>
      <c r="J18" s="181">
        <f t="shared" si="3"/>
        <v>1.1605000000000001</v>
      </c>
      <c r="K18" s="281"/>
      <c r="L18" s="186" t="s">
        <v>85</v>
      </c>
      <c r="M18" s="187" t="s">
        <v>103</v>
      </c>
      <c r="N18" s="188" t="s">
        <v>85</v>
      </c>
      <c r="O18" s="189" t="s">
        <v>103</v>
      </c>
    </row>
    <row r="19" spans="1:15" ht="15.75" customHeight="1" x14ac:dyDescent="0.35">
      <c r="A19" s="179" t="s">
        <v>40</v>
      </c>
      <c r="B19" s="180">
        <v>1.4430000000000001</v>
      </c>
      <c r="C19" s="181">
        <f t="shared" si="0"/>
        <v>1.522365</v>
      </c>
      <c r="D19" s="182">
        <v>25</v>
      </c>
      <c r="E19" s="183">
        <f t="shared" si="1"/>
        <v>26.375</v>
      </c>
      <c r="F19" s="184">
        <v>1.08</v>
      </c>
      <c r="G19" s="181">
        <f t="shared" si="2"/>
        <v>1.1394</v>
      </c>
      <c r="H19" s="278"/>
      <c r="I19" s="185">
        <v>1.1000000000000001</v>
      </c>
      <c r="J19" s="181">
        <f t="shared" si="3"/>
        <v>1.1605000000000001</v>
      </c>
      <c r="K19" s="281"/>
      <c r="L19" s="186">
        <v>1.042</v>
      </c>
      <c r="M19" s="187">
        <f t="shared" si="4"/>
        <v>1.1462000000000001</v>
      </c>
      <c r="N19" s="188">
        <v>25</v>
      </c>
      <c r="O19" s="189">
        <f t="shared" si="5"/>
        <v>27.500000000000004</v>
      </c>
    </row>
    <row r="20" spans="1:15" ht="15.75" customHeight="1" x14ac:dyDescent="0.35">
      <c r="A20" s="179" t="s">
        <v>130</v>
      </c>
      <c r="B20" s="180">
        <v>1.4430000000000001</v>
      </c>
      <c r="C20" s="181">
        <f t="shared" si="0"/>
        <v>1.522365</v>
      </c>
      <c r="D20" s="182">
        <v>25</v>
      </c>
      <c r="E20" s="183">
        <f t="shared" si="1"/>
        <v>26.375</v>
      </c>
      <c r="F20" s="184">
        <v>0.89</v>
      </c>
      <c r="G20" s="181">
        <f t="shared" si="2"/>
        <v>0.93894999999999995</v>
      </c>
      <c r="H20" s="278"/>
      <c r="I20" s="185">
        <v>1.1000000000000001</v>
      </c>
      <c r="J20" s="181">
        <f t="shared" si="3"/>
        <v>1.1605000000000001</v>
      </c>
      <c r="K20" s="281"/>
      <c r="L20" s="186">
        <v>1.1919999999999999</v>
      </c>
      <c r="M20" s="187">
        <f t="shared" si="4"/>
        <v>1.3112000000000001</v>
      </c>
      <c r="N20" s="188">
        <v>25</v>
      </c>
      <c r="O20" s="189">
        <f t="shared" si="5"/>
        <v>27.500000000000004</v>
      </c>
    </row>
    <row r="21" spans="1:15" ht="15.75" customHeight="1" x14ac:dyDescent="0.35">
      <c r="A21" s="179" t="s">
        <v>131</v>
      </c>
      <c r="B21" s="180">
        <v>1.796</v>
      </c>
      <c r="C21" s="181">
        <f t="shared" si="0"/>
        <v>1.8947799999999999</v>
      </c>
      <c r="D21" s="182">
        <v>25</v>
      </c>
      <c r="E21" s="183">
        <f t="shared" si="1"/>
        <v>26.375</v>
      </c>
      <c r="F21" s="184">
        <v>1.08</v>
      </c>
      <c r="G21" s="181">
        <f t="shared" si="2"/>
        <v>1.1394</v>
      </c>
      <c r="H21" s="278"/>
      <c r="I21" s="185">
        <v>1.37</v>
      </c>
      <c r="J21" s="181">
        <f t="shared" si="3"/>
        <v>1.4453500000000001</v>
      </c>
      <c r="K21" s="281"/>
      <c r="L21" s="186">
        <v>2.1</v>
      </c>
      <c r="M21" s="187">
        <f t="shared" si="4"/>
        <v>2.3100000000000005</v>
      </c>
      <c r="N21" s="188">
        <v>25</v>
      </c>
      <c r="O21" s="189">
        <f t="shared" si="5"/>
        <v>27.500000000000004</v>
      </c>
    </row>
    <row r="22" spans="1:15" ht="15.75" customHeight="1" x14ac:dyDescent="0.35">
      <c r="A22" s="179" t="s">
        <v>53</v>
      </c>
      <c r="B22" s="180">
        <v>2.0030000000000001</v>
      </c>
      <c r="C22" s="181">
        <f t="shared" si="0"/>
        <v>2.113165</v>
      </c>
      <c r="D22" s="182">
        <v>25</v>
      </c>
      <c r="E22" s="183">
        <f t="shared" si="1"/>
        <v>26.375</v>
      </c>
      <c r="F22" s="184">
        <v>1.38</v>
      </c>
      <c r="G22" s="181">
        <f t="shared" si="2"/>
        <v>1.4558999999999997</v>
      </c>
      <c r="H22" s="278"/>
      <c r="I22" s="185">
        <v>1.52</v>
      </c>
      <c r="J22" s="181">
        <f t="shared" si="3"/>
        <v>1.6035999999999999</v>
      </c>
      <c r="K22" s="281"/>
      <c r="L22" s="186">
        <v>1.042</v>
      </c>
      <c r="M22" s="187">
        <f t="shared" si="4"/>
        <v>1.1462000000000001</v>
      </c>
      <c r="N22" s="188">
        <v>25</v>
      </c>
      <c r="O22" s="189">
        <f t="shared" si="5"/>
        <v>27.500000000000004</v>
      </c>
    </row>
    <row r="23" spans="1:15" ht="15.75" customHeight="1" x14ac:dyDescent="0.35">
      <c r="A23" s="190" t="s">
        <v>132</v>
      </c>
      <c r="B23" s="180">
        <v>1.796</v>
      </c>
      <c r="C23" s="181">
        <f t="shared" si="0"/>
        <v>1.8947799999999999</v>
      </c>
      <c r="D23" s="182">
        <v>25</v>
      </c>
      <c r="E23" s="183">
        <f t="shared" si="1"/>
        <v>26.375</v>
      </c>
      <c r="F23" s="184">
        <v>0.89</v>
      </c>
      <c r="G23" s="181">
        <f t="shared" si="2"/>
        <v>0.93894999999999995</v>
      </c>
      <c r="H23" s="278"/>
      <c r="I23" s="185">
        <v>1.37</v>
      </c>
      <c r="J23" s="181">
        <f t="shared" si="3"/>
        <v>1.4453500000000001</v>
      </c>
      <c r="K23" s="281"/>
      <c r="L23" s="186">
        <v>1.1919999999999999</v>
      </c>
      <c r="M23" s="187">
        <f t="shared" si="4"/>
        <v>1.3112000000000001</v>
      </c>
      <c r="N23" s="188">
        <v>25</v>
      </c>
      <c r="O23" s="189">
        <f t="shared" si="5"/>
        <v>27.500000000000004</v>
      </c>
    </row>
    <row r="24" spans="1:15" ht="15.75" customHeight="1" x14ac:dyDescent="0.35">
      <c r="A24" s="190" t="s">
        <v>133</v>
      </c>
      <c r="B24" s="180">
        <v>1.786</v>
      </c>
      <c r="C24" s="181">
        <f t="shared" si="0"/>
        <v>1.8842299999999998</v>
      </c>
      <c r="D24" s="182">
        <v>119.48</v>
      </c>
      <c r="E24" s="183">
        <f t="shared" si="1"/>
        <v>126.0514</v>
      </c>
      <c r="F24" s="184">
        <v>1.85</v>
      </c>
      <c r="G24" s="181">
        <f t="shared" si="2"/>
        <v>1.9517499999999999</v>
      </c>
      <c r="H24" s="278"/>
      <c r="I24" s="185">
        <v>1.37</v>
      </c>
      <c r="J24" s="181">
        <f t="shared" si="3"/>
        <v>1.4453500000000001</v>
      </c>
      <c r="K24" s="281"/>
      <c r="L24" s="186">
        <v>1.7609999999999999</v>
      </c>
      <c r="M24" s="187">
        <f t="shared" si="4"/>
        <v>1.9371</v>
      </c>
      <c r="N24" s="188">
        <v>118.429</v>
      </c>
      <c r="O24" s="189">
        <f t="shared" si="5"/>
        <v>130.27190000000002</v>
      </c>
    </row>
    <row r="25" spans="1:15" ht="15.75" customHeight="1" x14ac:dyDescent="0.35">
      <c r="A25" s="179" t="s">
        <v>32</v>
      </c>
      <c r="B25" s="180">
        <v>1.204</v>
      </c>
      <c r="C25" s="181">
        <f t="shared" si="0"/>
        <v>1.2702199999999999</v>
      </c>
      <c r="D25" s="182">
        <v>25</v>
      </c>
      <c r="E25" s="183">
        <f t="shared" si="1"/>
        <v>26.375</v>
      </c>
      <c r="F25" s="184">
        <v>0.89</v>
      </c>
      <c r="G25" s="181">
        <f t="shared" si="2"/>
        <v>0.93894999999999995</v>
      </c>
      <c r="H25" s="278"/>
      <c r="I25" s="185">
        <v>0.92</v>
      </c>
      <c r="J25" s="181">
        <f t="shared" si="3"/>
        <v>0.97060000000000002</v>
      </c>
      <c r="K25" s="281"/>
      <c r="L25" s="186">
        <v>1.042</v>
      </c>
      <c r="M25" s="187">
        <f t="shared" si="4"/>
        <v>1.1462000000000001</v>
      </c>
      <c r="N25" s="188">
        <v>25</v>
      </c>
      <c r="O25" s="189">
        <f t="shared" si="5"/>
        <v>27.500000000000004</v>
      </c>
    </row>
    <row r="26" spans="1:15" ht="15.75" customHeight="1" x14ac:dyDescent="0.35">
      <c r="A26" s="179" t="s">
        <v>66</v>
      </c>
      <c r="B26" s="180">
        <v>1.796</v>
      </c>
      <c r="C26" s="181">
        <f t="shared" si="0"/>
        <v>1.8947799999999999</v>
      </c>
      <c r="D26" s="182">
        <v>25</v>
      </c>
      <c r="E26" s="183">
        <f t="shared" si="1"/>
        <v>26.375</v>
      </c>
      <c r="F26" s="184">
        <v>1.08</v>
      </c>
      <c r="G26" s="181">
        <f t="shared" si="2"/>
        <v>1.1394</v>
      </c>
      <c r="H26" s="278"/>
      <c r="I26" s="185">
        <v>1.37</v>
      </c>
      <c r="J26" s="181">
        <f t="shared" si="3"/>
        <v>1.4453500000000001</v>
      </c>
      <c r="K26" s="281"/>
      <c r="L26" s="186">
        <v>1.042</v>
      </c>
      <c r="M26" s="187">
        <f t="shared" si="4"/>
        <v>1.1462000000000001</v>
      </c>
      <c r="N26" s="188">
        <v>25</v>
      </c>
      <c r="O26" s="189">
        <f t="shared" si="5"/>
        <v>27.500000000000004</v>
      </c>
    </row>
    <row r="27" spans="1:15" ht="15.75" customHeight="1" x14ac:dyDescent="0.35">
      <c r="A27" s="179" t="s">
        <v>48</v>
      </c>
      <c r="B27" s="180">
        <v>1.796</v>
      </c>
      <c r="C27" s="181">
        <f t="shared" si="0"/>
        <v>1.8947799999999999</v>
      </c>
      <c r="D27" s="182">
        <v>25</v>
      </c>
      <c r="E27" s="183">
        <f t="shared" si="1"/>
        <v>26.375</v>
      </c>
      <c r="F27" s="184">
        <v>1.38</v>
      </c>
      <c r="G27" s="181">
        <f t="shared" si="2"/>
        <v>1.4558999999999997</v>
      </c>
      <c r="H27" s="278"/>
      <c r="I27" s="185">
        <v>1.37</v>
      </c>
      <c r="J27" s="181">
        <f t="shared" si="3"/>
        <v>1.4453500000000001</v>
      </c>
      <c r="K27" s="281"/>
      <c r="L27" s="186">
        <v>1.1919999999999999</v>
      </c>
      <c r="M27" s="187">
        <f t="shared" si="4"/>
        <v>1.3112000000000001</v>
      </c>
      <c r="N27" s="188">
        <v>25</v>
      </c>
      <c r="O27" s="189">
        <f t="shared" si="5"/>
        <v>27.500000000000004</v>
      </c>
    </row>
    <row r="28" spans="1:15" ht="15.75" customHeight="1" x14ac:dyDescent="0.35">
      <c r="A28" s="190" t="s">
        <v>134</v>
      </c>
      <c r="B28" s="180">
        <v>1.4430000000000001</v>
      </c>
      <c r="C28" s="181">
        <f t="shared" si="0"/>
        <v>1.522365</v>
      </c>
      <c r="D28" s="182">
        <v>25</v>
      </c>
      <c r="E28" s="183">
        <f t="shared" si="1"/>
        <v>26.375</v>
      </c>
      <c r="F28" s="184">
        <v>1.08</v>
      </c>
      <c r="G28" s="181">
        <f t="shared" si="2"/>
        <v>1.1394</v>
      </c>
      <c r="H28" s="278"/>
      <c r="I28" s="185">
        <v>1.1000000000000001</v>
      </c>
      <c r="J28" s="181">
        <f t="shared" si="3"/>
        <v>1.1605000000000001</v>
      </c>
      <c r="K28" s="281"/>
      <c r="L28" s="186">
        <v>1.1919999999999999</v>
      </c>
      <c r="M28" s="187">
        <f t="shared" si="4"/>
        <v>1.3112000000000001</v>
      </c>
      <c r="N28" s="188">
        <v>25</v>
      </c>
      <c r="O28" s="189">
        <f t="shared" si="5"/>
        <v>27.500000000000004</v>
      </c>
    </row>
    <row r="29" spans="1:15" ht="15.75" customHeight="1" x14ac:dyDescent="0.35">
      <c r="A29" s="179" t="s">
        <v>42</v>
      </c>
      <c r="B29" s="180">
        <v>1.4430000000000001</v>
      </c>
      <c r="C29" s="181">
        <f t="shared" si="0"/>
        <v>1.522365</v>
      </c>
      <c r="D29" s="182">
        <v>25</v>
      </c>
      <c r="E29" s="183">
        <f t="shared" si="1"/>
        <v>26.375</v>
      </c>
      <c r="F29" s="184">
        <v>1.08</v>
      </c>
      <c r="G29" s="181">
        <f t="shared" si="2"/>
        <v>1.1394</v>
      </c>
      <c r="H29" s="278"/>
      <c r="I29" s="185">
        <v>1.1000000000000001</v>
      </c>
      <c r="J29" s="181">
        <f t="shared" si="3"/>
        <v>1.1605000000000001</v>
      </c>
      <c r="K29" s="281"/>
      <c r="L29" s="186">
        <v>1.042</v>
      </c>
      <c r="M29" s="187">
        <f t="shared" si="4"/>
        <v>1.1462000000000001</v>
      </c>
      <c r="N29" s="188">
        <v>25</v>
      </c>
      <c r="O29" s="189">
        <f t="shared" si="5"/>
        <v>27.500000000000004</v>
      </c>
    </row>
    <row r="30" spans="1:15" ht="15.75" customHeight="1" x14ac:dyDescent="0.35">
      <c r="A30" s="193" t="s">
        <v>54</v>
      </c>
      <c r="B30" s="194">
        <v>2.0030000000000001</v>
      </c>
      <c r="C30" s="181">
        <f t="shared" si="0"/>
        <v>2.113165</v>
      </c>
      <c r="D30" s="195">
        <v>25</v>
      </c>
      <c r="E30" s="183">
        <f t="shared" si="1"/>
        <v>26.375</v>
      </c>
      <c r="F30" s="196">
        <v>1.85</v>
      </c>
      <c r="G30" s="181">
        <f t="shared" si="2"/>
        <v>1.9517499999999999</v>
      </c>
      <c r="H30" s="278"/>
      <c r="I30" s="185">
        <v>1.52</v>
      </c>
      <c r="J30" s="181">
        <f t="shared" si="3"/>
        <v>1.6035999999999999</v>
      </c>
      <c r="K30" s="281"/>
      <c r="L30" s="186">
        <v>1.042</v>
      </c>
      <c r="M30" s="187">
        <f t="shared" si="4"/>
        <v>1.1462000000000001</v>
      </c>
      <c r="N30" s="188">
        <v>25</v>
      </c>
      <c r="O30" s="189">
        <f t="shared" si="5"/>
        <v>27.500000000000004</v>
      </c>
    </row>
    <row r="31" spans="1:15" ht="15.75" customHeight="1" x14ac:dyDescent="0.35">
      <c r="A31" s="179" t="s">
        <v>55</v>
      </c>
      <c r="B31" s="180">
        <v>2.0030000000000001</v>
      </c>
      <c r="C31" s="181">
        <f t="shared" si="0"/>
        <v>2.113165</v>
      </c>
      <c r="D31" s="182">
        <v>25</v>
      </c>
      <c r="E31" s="183">
        <f t="shared" si="1"/>
        <v>26.375</v>
      </c>
      <c r="F31" s="184">
        <v>1.38</v>
      </c>
      <c r="G31" s="181">
        <f t="shared" si="2"/>
        <v>1.4558999999999997</v>
      </c>
      <c r="H31" s="278"/>
      <c r="I31" s="185">
        <v>1.52</v>
      </c>
      <c r="J31" s="181">
        <f t="shared" si="3"/>
        <v>1.6035999999999999</v>
      </c>
      <c r="K31" s="281"/>
      <c r="L31" s="186">
        <v>1.1919999999999999</v>
      </c>
      <c r="M31" s="187">
        <f t="shared" si="4"/>
        <v>1.3112000000000001</v>
      </c>
      <c r="N31" s="188">
        <v>25</v>
      </c>
      <c r="O31" s="189">
        <f t="shared" si="5"/>
        <v>27.500000000000004</v>
      </c>
    </row>
    <row r="32" spans="1:15" ht="15.75" customHeight="1" x14ac:dyDescent="0.35">
      <c r="A32" s="179" t="s">
        <v>33</v>
      </c>
      <c r="B32" s="180">
        <v>1.204</v>
      </c>
      <c r="C32" s="181">
        <f t="shared" si="0"/>
        <v>1.2702199999999999</v>
      </c>
      <c r="D32" s="182">
        <v>25</v>
      </c>
      <c r="E32" s="183">
        <f t="shared" si="1"/>
        <v>26.375</v>
      </c>
      <c r="F32" s="184">
        <v>1.08</v>
      </c>
      <c r="G32" s="181">
        <f t="shared" si="2"/>
        <v>1.1394</v>
      </c>
      <c r="H32" s="278"/>
      <c r="I32" s="185">
        <v>0.92</v>
      </c>
      <c r="J32" s="181">
        <f t="shared" si="3"/>
        <v>0.97060000000000002</v>
      </c>
      <c r="K32" s="281"/>
      <c r="L32" s="186">
        <v>1.042</v>
      </c>
      <c r="M32" s="187">
        <f t="shared" si="4"/>
        <v>1.1462000000000001</v>
      </c>
      <c r="N32" s="188">
        <v>25</v>
      </c>
      <c r="O32" s="189">
        <f t="shared" si="5"/>
        <v>27.500000000000004</v>
      </c>
    </row>
    <row r="33" spans="1:15" ht="15.75" customHeight="1" x14ac:dyDescent="0.35">
      <c r="A33" s="179" t="s">
        <v>60</v>
      </c>
      <c r="B33" s="180">
        <v>2.407</v>
      </c>
      <c r="C33" s="181">
        <f t="shared" si="0"/>
        <v>2.5393849999999998</v>
      </c>
      <c r="D33" s="182">
        <v>25</v>
      </c>
      <c r="E33" s="183">
        <f t="shared" si="1"/>
        <v>26.375</v>
      </c>
      <c r="F33" s="184">
        <v>1.85</v>
      </c>
      <c r="G33" s="181">
        <f t="shared" si="2"/>
        <v>1.9517499999999999</v>
      </c>
      <c r="H33" s="278"/>
      <c r="I33" s="185">
        <v>1.83</v>
      </c>
      <c r="J33" s="181">
        <f t="shared" si="3"/>
        <v>1.93065</v>
      </c>
      <c r="K33" s="281"/>
      <c r="L33" s="186">
        <v>1.4019999999999999</v>
      </c>
      <c r="M33" s="187">
        <f t="shared" si="4"/>
        <v>1.5422</v>
      </c>
      <c r="N33" s="188">
        <v>25</v>
      </c>
      <c r="O33" s="189">
        <f t="shared" si="5"/>
        <v>27.500000000000004</v>
      </c>
    </row>
    <row r="34" spans="1:15" ht="15.75" customHeight="1" x14ac:dyDescent="0.35">
      <c r="A34" s="179" t="s">
        <v>59</v>
      </c>
      <c r="B34" s="180">
        <v>2.2330000000000001</v>
      </c>
      <c r="C34" s="181">
        <f t="shared" si="0"/>
        <v>2.3558149999999998</v>
      </c>
      <c r="D34" s="182">
        <v>25</v>
      </c>
      <c r="E34" s="183">
        <f t="shared" si="1"/>
        <v>26.375</v>
      </c>
      <c r="F34" s="184">
        <v>1.85</v>
      </c>
      <c r="G34" s="181">
        <f t="shared" si="2"/>
        <v>1.9517499999999999</v>
      </c>
      <c r="H34" s="278"/>
      <c r="I34" s="185">
        <v>1.7</v>
      </c>
      <c r="J34" s="181">
        <f t="shared" si="3"/>
        <v>1.7934999999999999</v>
      </c>
      <c r="K34" s="281"/>
      <c r="L34" s="186">
        <v>2.1</v>
      </c>
      <c r="M34" s="187">
        <f t="shared" si="4"/>
        <v>2.3100000000000005</v>
      </c>
      <c r="N34" s="188">
        <v>25</v>
      </c>
      <c r="O34" s="189">
        <f t="shared" si="5"/>
        <v>27.500000000000004</v>
      </c>
    </row>
    <row r="35" spans="1:15" ht="15.75" customHeight="1" x14ac:dyDescent="0.35">
      <c r="A35" s="190" t="s">
        <v>43</v>
      </c>
      <c r="B35" s="180">
        <v>1.4430000000000001</v>
      </c>
      <c r="C35" s="181">
        <f t="shared" si="0"/>
        <v>1.522365</v>
      </c>
      <c r="D35" s="182">
        <v>25</v>
      </c>
      <c r="E35" s="183">
        <f t="shared" si="1"/>
        <v>26.375</v>
      </c>
      <c r="F35" s="184">
        <v>0.89</v>
      </c>
      <c r="G35" s="181">
        <f t="shared" si="2"/>
        <v>0.93894999999999995</v>
      </c>
      <c r="H35" s="278"/>
      <c r="I35" s="185">
        <v>1.1000000000000001</v>
      </c>
      <c r="J35" s="181">
        <f t="shared" si="3"/>
        <v>1.1605000000000001</v>
      </c>
      <c r="K35" s="281"/>
      <c r="L35" s="186">
        <v>1.1919999999999999</v>
      </c>
      <c r="M35" s="187">
        <f t="shared" si="4"/>
        <v>1.3112000000000001</v>
      </c>
      <c r="N35" s="188">
        <v>25</v>
      </c>
      <c r="O35" s="189">
        <f t="shared" si="5"/>
        <v>27.500000000000004</v>
      </c>
    </row>
    <row r="36" spans="1:15" ht="15" customHeight="1" x14ac:dyDescent="0.25">
      <c r="A36" s="179" t="s">
        <v>135</v>
      </c>
      <c r="B36" s="180">
        <v>2.0030000000000001</v>
      </c>
      <c r="C36" s="181">
        <f t="shared" si="0"/>
        <v>2.113165</v>
      </c>
      <c r="D36" s="182">
        <v>25</v>
      </c>
      <c r="E36" s="183">
        <f t="shared" si="1"/>
        <v>26.375</v>
      </c>
      <c r="F36" s="184">
        <v>0.89</v>
      </c>
      <c r="G36" s="181">
        <f t="shared" si="2"/>
        <v>0.93894999999999995</v>
      </c>
      <c r="H36" s="278"/>
      <c r="I36" s="185">
        <v>1.52</v>
      </c>
      <c r="J36" s="181">
        <f t="shared" si="3"/>
        <v>1.6035999999999999</v>
      </c>
      <c r="K36" s="281"/>
      <c r="L36" s="186">
        <v>1.042</v>
      </c>
      <c r="M36" s="181">
        <f t="shared" si="4"/>
        <v>1.1462000000000001</v>
      </c>
      <c r="N36" s="188">
        <v>25</v>
      </c>
      <c r="O36" s="191">
        <f t="shared" si="5"/>
        <v>27.500000000000004</v>
      </c>
    </row>
    <row r="37" spans="1:15" ht="15.75" customHeight="1" x14ac:dyDescent="0.35">
      <c r="A37" s="179" t="s">
        <v>136</v>
      </c>
      <c r="B37" s="180">
        <v>2.0030000000000001</v>
      </c>
      <c r="C37" s="181">
        <f t="shared" si="0"/>
        <v>2.113165</v>
      </c>
      <c r="D37" s="182">
        <v>25</v>
      </c>
      <c r="E37" s="183">
        <f t="shared" si="1"/>
        <v>26.375</v>
      </c>
      <c r="F37" s="184">
        <v>1.08</v>
      </c>
      <c r="G37" s="181">
        <f t="shared" si="2"/>
        <v>1.1394</v>
      </c>
      <c r="H37" s="278"/>
      <c r="I37" s="185">
        <v>1.52</v>
      </c>
      <c r="J37" s="181">
        <f t="shared" si="3"/>
        <v>1.6035999999999999</v>
      </c>
      <c r="K37" s="281"/>
      <c r="L37" s="186">
        <v>1.4019999999999999</v>
      </c>
      <c r="M37" s="187">
        <f t="shared" si="4"/>
        <v>1.5422</v>
      </c>
      <c r="N37" s="188">
        <v>25</v>
      </c>
      <c r="O37" s="189">
        <f t="shared" si="5"/>
        <v>27.500000000000004</v>
      </c>
    </row>
    <row r="38" spans="1:15" ht="15.75" customHeight="1" x14ac:dyDescent="0.35">
      <c r="A38" s="190" t="s">
        <v>137</v>
      </c>
      <c r="B38" s="180">
        <v>1.4430000000000001</v>
      </c>
      <c r="C38" s="181">
        <f t="shared" si="0"/>
        <v>1.522365</v>
      </c>
      <c r="D38" s="182">
        <v>25</v>
      </c>
      <c r="E38" s="183">
        <f t="shared" si="1"/>
        <v>26.375</v>
      </c>
      <c r="F38" s="184">
        <v>0.89</v>
      </c>
      <c r="G38" s="181">
        <f t="shared" si="2"/>
        <v>0.93894999999999995</v>
      </c>
      <c r="H38" s="278"/>
      <c r="I38" s="185">
        <v>1.1000000000000001</v>
      </c>
      <c r="J38" s="181">
        <f t="shared" si="3"/>
        <v>1.1605000000000001</v>
      </c>
      <c r="K38" s="281"/>
      <c r="L38" s="186">
        <v>1.042</v>
      </c>
      <c r="M38" s="187">
        <f t="shared" si="4"/>
        <v>1.1462000000000001</v>
      </c>
      <c r="N38" s="188">
        <v>25</v>
      </c>
      <c r="O38" s="189">
        <f t="shared" si="5"/>
        <v>27.500000000000004</v>
      </c>
    </row>
    <row r="39" spans="1:15" ht="15.75" customHeight="1" x14ac:dyDescent="0.35">
      <c r="A39" s="190" t="s">
        <v>138</v>
      </c>
      <c r="B39" s="180">
        <v>2.0030000000000001</v>
      </c>
      <c r="C39" s="181">
        <f t="shared" si="0"/>
        <v>2.113165</v>
      </c>
      <c r="D39" s="182">
        <v>25</v>
      </c>
      <c r="E39" s="183">
        <f t="shared" si="1"/>
        <v>26.375</v>
      </c>
      <c r="F39" s="184">
        <v>0.89</v>
      </c>
      <c r="G39" s="181">
        <f t="shared" si="2"/>
        <v>0.93894999999999995</v>
      </c>
      <c r="H39" s="278"/>
      <c r="I39" s="185">
        <v>1.52</v>
      </c>
      <c r="J39" s="181">
        <f t="shared" si="3"/>
        <v>1.6035999999999999</v>
      </c>
      <c r="K39" s="281"/>
      <c r="L39" s="186">
        <v>1.042</v>
      </c>
      <c r="M39" s="187">
        <f t="shared" si="4"/>
        <v>1.1462000000000001</v>
      </c>
      <c r="N39" s="188">
        <v>25</v>
      </c>
      <c r="O39" s="189">
        <f t="shared" si="5"/>
        <v>27.500000000000004</v>
      </c>
    </row>
    <row r="40" spans="1:15" ht="15.75" customHeight="1" x14ac:dyDescent="0.35">
      <c r="A40" s="190" t="s">
        <v>34</v>
      </c>
      <c r="B40" s="180">
        <v>1.204</v>
      </c>
      <c r="C40" s="181">
        <f t="shared" si="0"/>
        <v>1.2702199999999999</v>
      </c>
      <c r="D40" s="182">
        <v>25</v>
      </c>
      <c r="E40" s="183">
        <f t="shared" si="1"/>
        <v>26.375</v>
      </c>
      <c r="F40" s="184">
        <v>0.89</v>
      </c>
      <c r="G40" s="181">
        <f t="shared" si="2"/>
        <v>0.93894999999999995</v>
      </c>
      <c r="H40" s="278"/>
      <c r="I40" s="185">
        <v>0.92</v>
      </c>
      <c r="J40" s="181">
        <f t="shared" si="3"/>
        <v>0.97060000000000002</v>
      </c>
      <c r="K40" s="281"/>
      <c r="L40" s="186">
        <v>1.042</v>
      </c>
      <c r="M40" s="187">
        <f t="shared" si="4"/>
        <v>1.1462000000000001</v>
      </c>
      <c r="N40" s="188">
        <v>25</v>
      </c>
      <c r="O40" s="189">
        <f t="shared" si="5"/>
        <v>27.500000000000004</v>
      </c>
    </row>
    <row r="41" spans="1:15" ht="15.75" customHeight="1" x14ac:dyDescent="0.35">
      <c r="A41" s="179" t="s">
        <v>61</v>
      </c>
      <c r="B41" s="180">
        <v>2.407</v>
      </c>
      <c r="C41" s="181">
        <f t="shared" si="0"/>
        <v>2.5393849999999998</v>
      </c>
      <c r="D41" s="182">
        <v>25</v>
      </c>
      <c r="E41" s="183">
        <f t="shared" si="1"/>
        <v>26.375</v>
      </c>
      <c r="F41" s="184">
        <v>1.38</v>
      </c>
      <c r="G41" s="181">
        <f t="shared" si="2"/>
        <v>1.4558999999999997</v>
      </c>
      <c r="H41" s="278"/>
      <c r="I41" s="185">
        <v>1.83</v>
      </c>
      <c r="J41" s="181">
        <f t="shared" si="3"/>
        <v>1.93065</v>
      </c>
      <c r="K41" s="281"/>
      <c r="L41" s="186">
        <v>2.1</v>
      </c>
      <c r="M41" s="187">
        <f t="shared" si="4"/>
        <v>2.3100000000000005</v>
      </c>
      <c r="N41" s="188">
        <v>25</v>
      </c>
      <c r="O41" s="189">
        <f t="shared" si="5"/>
        <v>27.500000000000004</v>
      </c>
    </row>
    <row r="42" spans="1:15" ht="16.5" customHeight="1" thickBot="1" x14ac:dyDescent="0.4">
      <c r="A42" s="197" t="s">
        <v>45</v>
      </c>
      <c r="B42" s="198">
        <v>1.4430000000000001</v>
      </c>
      <c r="C42" s="199">
        <f t="shared" si="0"/>
        <v>1.522365</v>
      </c>
      <c r="D42" s="200">
        <v>25</v>
      </c>
      <c r="E42" s="201">
        <f t="shared" si="1"/>
        <v>26.375</v>
      </c>
      <c r="F42" s="202">
        <v>0.89</v>
      </c>
      <c r="G42" s="199">
        <f t="shared" si="2"/>
        <v>0.93894999999999995</v>
      </c>
      <c r="H42" s="279"/>
      <c r="I42" s="203">
        <v>1.1000000000000001</v>
      </c>
      <c r="J42" s="199">
        <f t="shared" si="3"/>
        <v>1.1605000000000001</v>
      </c>
      <c r="K42" s="282"/>
      <c r="L42" s="204">
        <v>1.1919999999999999</v>
      </c>
      <c r="M42" s="205">
        <f t="shared" si="4"/>
        <v>1.3112000000000001</v>
      </c>
      <c r="N42" s="206">
        <v>25</v>
      </c>
      <c r="O42" s="207">
        <f t="shared" si="5"/>
        <v>27.500000000000004</v>
      </c>
    </row>
    <row r="43" spans="1:15" ht="10.5" customHeight="1" thickBot="1" x14ac:dyDescent="0.4"/>
    <row r="44" spans="1:15" ht="32.25" customHeight="1" thickBot="1" x14ac:dyDescent="0.4">
      <c r="A44" s="211" t="s">
        <v>89</v>
      </c>
      <c r="B44" s="159" t="s">
        <v>105</v>
      </c>
      <c r="C44" s="160" t="s">
        <v>106</v>
      </c>
      <c r="D44" s="164" t="s">
        <v>114</v>
      </c>
      <c r="E44" s="159" t="s">
        <v>122</v>
      </c>
    </row>
    <row r="45" spans="1:15" ht="36" x14ac:dyDescent="0.35">
      <c r="A45" s="212" t="s">
        <v>88</v>
      </c>
      <c r="B45" s="173">
        <v>0.43</v>
      </c>
      <c r="C45" s="213">
        <f>B45*1.055</f>
        <v>0.45364999999999994</v>
      </c>
      <c r="D45" s="214" t="s">
        <v>103</v>
      </c>
      <c r="E45" s="215" t="s">
        <v>103</v>
      </c>
    </row>
    <row r="46" spans="1:15" x14ac:dyDescent="0.35">
      <c r="A46" s="216" t="s">
        <v>90</v>
      </c>
      <c r="B46" s="184">
        <v>0.01</v>
      </c>
      <c r="C46" s="217">
        <f>B46*1.055</f>
        <v>1.055E-2</v>
      </c>
      <c r="D46" s="218" t="s">
        <v>103</v>
      </c>
      <c r="E46" s="219" t="s">
        <v>103</v>
      </c>
    </row>
    <row r="47" spans="1:15" ht="36" x14ac:dyDescent="0.35">
      <c r="A47" s="220" t="s">
        <v>91</v>
      </c>
      <c r="B47" s="218" t="s">
        <v>103</v>
      </c>
      <c r="C47" s="221" t="s">
        <v>103</v>
      </c>
      <c r="D47" s="184">
        <v>0.01</v>
      </c>
      <c r="E47" s="222">
        <f>D47*1.1</f>
        <v>1.1000000000000001E-2</v>
      </c>
    </row>
    <row r="48" spans="1:15" ht="18.75" thickBot="1" x14ac:dyDescent="0.4">
      <c r="A48" s="223" t="s">
        <v>92</v>
      </c>
      <c r="B48" s="224">
        <v>4.6600000000000003E-2</v>
      </c>
      <c r="C48" s="225">
        <f>B48*1.055</f>
        <v>4.9162999999999998E-2</v>
      </c>
      <c r="D48" s="226" t="s">
        <v>103</v>
      </c>
      <c r="E48" s="227" t="s">
        <v>103</v>
      </c>
    </row>
    <row r="49" ht="9" customHeight="1" x14ac:dyDescent="0.35"/>
  </sheetData>
  <autoFilter ref="A1:O42" xr:uid="{412AF7E6-14A4-4EDA-9CCD-29768FAE4A0C}"/>
  <mergeCells count="2">
    <mergeCell ref="H2:H42"/>
    <mergeCell ref="K2:K42"/>
  </mergeCells>
  <pageMargins left="0.25" right="0.25"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AGRI</vt:lpstr>
      <vt:lpstr>IND</vt:lpstr>
      <vt:lpstr>Tarif EAU</vt:lpstr>
      <vt:lpstr>Tarif AST</vt:lpstr>
      <vt:lpstr>Tarif pr 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 CHARVET</dc:creator>
  <cp:lastModifiedBy>Laure CHARVET</cp:lastModifiedBy>
  <cp:lastPrinted>2025-02-03T08:34:02Z</cp:lastPrinted>
  <dcterms:created xsi:type="dcterms:W3CDTF">2025-01-23T08:02:44Z</dcterms:created>
  <dcterms:modified xsi:type="dcterms:W3CDTF">2025-03-17T08:33:51Z</dcterms:modified>
</cp:coreProperties>
</file>